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https://porthouston-my.sharepoint.com/personal/belmore_porthouston_com/Documents/Applications/2023/Submitted/H-GAC/"/>
    </mc:Choice>
  </mc:AlternateContent>
  <xr:revisionPtr revIDLastSave="97" documentId="13_ncr:1_{8AEB69F3-1D52-4AC2-BA19-9BBD9C8BA5D2}" xr6:coauthVersionLast="47" xr6:coauthVersionMax="47" xr10:uidLastSave="{0907F480-15EC-45B3-A31D-F47539E7F348}"/>
  <bookViews>
    <workbookView xWindow="-110" yWindow="-110" windowWidth="19420" windowHeight="10420" tabRatio="900"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 name="Growth Rates" sheetId="14" r:id="rId9"/>
  </sheets>
  <definedNames>
    <definedName name="_20_2030_V_C_Growth">Calculations!$E$11</definedName>
    <definedName name="_20_2045_Demand_Growth">Calculations!$E$7</definedName>
    <definedName name="_20_2045_V_C_Growth">Calculations!$E$13</definedName>
    <definedName name="_20_Capacity">'Inputs &amp; Outputs'!#REF!</definedName>
    <definedName name="_20_PeakVolume">'Inputs &amp; Outputs'!#REF!</definedName>
    <definedName name="_20_V_C_Ratio">Calculations!$E$8</definedName>
    <definedName name="_2045_Capacity">'Inputs &amp; Outputs'!#REF!</definedName>
    <definedName name="_2045_PeakVolume">'Inputs &amp; Outputs'!#REF!</definedName>
    <definedName name="_2045_V_C_Ratio">Calculations!$E$10</definedName>
    <definedName name="_30_2045_Demand_Growth">Calculations!$E$6</definedName>
    <definedName name="_30_2045_V_C_Growth">Calculations!$E$12</definedName>
    <definedName name="_30_Capacity">'Inputs &amp; Outputs'!#REF!</definedName>
    <definedName name="_30_PeakVolume">'Inputs &amp; Outputs'!#REF!</definedName>
    <definedName name="_30_V_C_Ratio">Calculations!$E$9</definedName>
    <definedName name="_Facility_Type">Calculations!$E$5</definedName>
    <definedName name="Annual_Days_of_Travel">Calculations!$B$8</definedName>
    <definedName name="Base_Year">Calculations!$B$4</definedName>
    <definedName name="County">'Inputs &amp; Outputs'!$C$6</definedName>
    <definedName name="Discount_Rate">Calculations!#REF!</definedName>
    <definedName name="FacilityType">'Inputs &amp; Outputs'!$C$7</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Outputs'!$B$2:$G$38</definedName>
    <definedName name="_xlnm.Print_Area" localSheetId="0">Instructions!$A$1:$G$12</definedName>
    <definedName name="_xlnm.Print_Area" localSheetId="1">'ITS Delay Worksheet'!$A$3:$J$33</definedName>
    <definedName name="ProjectTitle">'Inputs &amp; Outputs'!$C$5</definedName>
    <definedName name="Real_wage_growth_rate">Calculations!$B$7</definedName>
    <definedName name="Value_of_Delay_Savings__2020_____000s">Calculations!$S$4:$S$36</definedName>
    <definedName name="Value_of_Travel_Time__VoTT___2020">Calculations!$B$6</definedName>
    <definedName name="Vehicle_Occupancy">Calculations!$B$5</definedName>
    <definedName name="Year_Open_to_Traffic?">'Inputs &amp; Outputs'!$C$18</definedName>
    <definedName name="Years_to_include_in_BCA_Analysis">Calculations!$B$9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7" i="12" l="1"/>
  <c r="C9" i="2"/>
  <c r="L6" i="14"/>
  <c r="L7" i="14" s="1"/>
  <c r="L8" i="14" s="1"/>
  <c r="L9" i="14" s="1"/>
  <c r="L10" i="14" s="1"/>
  <c r="L11" i="14" s="1"/>
  <c r="L12" i="14" s="1"/>
  <c r="L13" i="14" s="1"/>
  <c r="L14" i="14" s="1"/>
  <c r="L15" i="14" s="1"/>
  <c r="L16" i="14" s="1"/>
  <c r="L17" i="14" s="1"/>
  <c r="L18" i="14" s="1"/>
  <c r="L19" i="14" s="1"/>
  <c r="L20" i="14" s="1"/>
  <c r="L21" i="14" s="1"/>
  <c r="L22" i="14" s="1"/>
  <c r="L23" i="14" s="1"/>
  <c r="L24" i="14" s="1"/>
  <c r="L25" i="14" s="1"/>
  <c r="L26" i="14" s="1"/>
  <c r="L27" i="14" s="1"/>
  <c r="L28" i="14" s="1"/>
  <c r="L29" i="14" s="1"/>
  <c r="L30" i="14" s="1"/>
  <c r="L31" i="14" s="1"/>
  <c r="L32" i="14" s="1"/>
  <c r="L33" i="14" s="1"/>
  <c r="K6" i="14"/>
  <c r="K7" i="14" s="1"/>
  <c r="K8" i="14" s="1"/>
  <c r="K9" i="14" s="1"/>
  <c r="K10" i="14" s="1"/>
  <c r="K11" i="14" s="1"/>
  <c r="K12" i="14" s="1"/>
  <c r="K13" i="14" s="1"/>
  <c r="K14" i="14" s="1"/>
  <c r="K15" i="14" s="1"/>
  <c r="K16" i="14" s="1"/>
  <c r="K17" i="14" s="1"/>
  <c r="K18" i="14" s="1"/>
  <c r="K19" i="14" s="1"/>
  <c r="K20" i="14" s="1"/>
  <c r="K21" i="14" s="1"/>
  <c r="K22" i="14" s="1"/>
  <c r="K23" i="14" s="1"/>
  <c r="K24" i="14" s="1"/>
  <c r="K25" i="14" s="1"/>
  <c r="K26" i="14" s="1"/>
  <c r="K27" i="14" s="1"/>
  <c r="K28" i="14" s="1"/>
  <c r="K29" i="14" s="1"/>
  <c r="K30" i="14" s="1"/>
  <c r="K31" i="14" s="1"/>
  <c r="K32" i="14" s="1"/>
  <c r="K33" i="14" s="1"/>
  <c r="J6" i="14"/>
  <c r="N6" i="14" s="1"/>
  <c r="I6" i="14"/>
  <c r="I7" i="14" s="1"/>
  <c r="I8" i="14" s="1"/>
  <c r="I9" i="14" s="1"/>
  <c r="I10" i="14" s="1"/>
  <c r="I11" i="14" s="1"/>
  <c r="I12" i="14" s="1"/>
  <c r="I13" i="14" s="1"/>
  <c r="I14" i="14" s="1"/>
  <c r="I15" i="14" s="1"/>
  <c r="I16" i="14" s="1"/>
  <c r="I17" i="14" s="1"/>
  <c r="I18" i="14" s="1"/>
  <c r="I19" i="14" s="1"/>
  <c r="I20" i="14" s="1"/>
  <c r="I21" i="14" s="1"/>
  <c r="I22" i="14" s="1"/>
  <c r="I23" i="14" s="1"/>
  <c r="I24" i="14" s="1"/>
  <c r="I25" i="14" s="1"/>
  <c r="I26" i="14" s="1"/>
  <c r="I27" i="14" s="1"/>
  <c r="I28" i="14" s="1"/>
  <c r="I29" i="14" s="1"/>
  <c r="I30" i="14" s="1"/>
  <c r="I31" i="14" s="1"/>
  <c r="I32" i="14" s="1"/>
  <c r="I33" i="14" s="1"/>
  <c r="L5" i="14"/>
  <c r="K5" i="14"/>
  <c r="J5" i="14"/>
  <c r="I5" i="14"/>
  <c r="H5" i="14"/>
  <c r="H6" i="14" s="1"/>
  <c r="H7" i="14" s="1"/>
  <c r="H8" i="14" s="1"/>
  <c r="H9" i="14" s="1"/>
  <c r="H10" i="14" s="1"/>
  <c r="H11" i="14" s="1"/>
  <c r="H12" i="14" s="1"/>
  <c r="H13" i="14" s="1"/>
  <c r="H14" i="14" s="1"/>
  <c r="H15" i="14" s="1"/>
  <c r="H16" i="14" s="1"/>
  <c r="H17" i="14" s="1"/>
  <c r="H18" i="14" s="1"/>
  <c r="H19" i="14" s="1"/>
  <c r="H20" i="14" s="1"/>
  <c r="H21" i="14" s="1"/>
  <c r="H22" i="14" s="1"/>
  <c r="H23" i="14" s="1"/>
  <c r="H24" i="14" s="1"/>
  <c r="H25" i="14" s="1"/>
  <c r="H26" i="14" s="1"/>
  <c r="H27" i="14" s="1"/>
  <c r="H28" i="14" s="1"/>
  <c r="H29" i="14" s="1"/>
  <c r="H30" i="14" s="1"/>
  <c r="H31" i="14" s="1"/>
  <c r="H32" i="14" s="1"/>
  <c r="H33" i="14" s="1"/>
  <c r="M4" i="14"/>
  <c r="M5" i="14" s="1"/>
  <c r="M6" i="14" s="1"/>
  <c r="M7" i="14" s="1"/>
  <c r="M8" i="14" s="1"/>
  <c r="M9" i="14" s="1"/>
  <c r="M10" i="14" s="1"/>
  <c r="M11" i="14" s="1"/>
  <c r="M12" i="14" s="1"/>
  <c r="M13" i="14" s="1"/>
  <c r="M14" i="14" s="1"/>
  <c r="M15" i="14" s="1"/>
  <c r="M16" i="14" s="1"/>
  <c r="M17" i="14" s="1"/>
  <c r="M18" i="14" s="1"/>
  <c r="M19" i="14" s="1"/>
  <c r="M20" i="14" s="1"/>
  <c r="M21" i="14" s="1"/>
  <c r="M22" i="14" s="1"/>
  <c r="M23" i="14" s="1"/>
  <c r="M24" i="14" s="1"/>
  <c r="M25" i="14" s="1"/>
  <c r="M26" i="14" s="1"/>
  <c r="M27" i="14" s="1"/>
  <c r="M28" i="14" s="1"/>
  <c r="M29" i="14" s="1"/>
  <c r="M30" i="14" s="1"/>
  <c r="M31" i="14" s="1"/>
  <c r="M32" i="14" s="1"/>
  <c r="M33" i="14" s="1"/>
  <c r="J4" i="14"/>
  <c r="N4" i="14" s="1"/>
  <c r="U6" i="14" l="1"/>
  <c r="N5" i="14"/>
  <c r="J7" i="14"/>
  <c r="N7" i="14" l="1"/>
  <c r="U7" i="14" s="1"/>
  <c r="J8" i="14"/>
  <c r="N8" i="14" l="1"/>
  <c r="U8" i="14" s="1"/>
  <c r="J9" i="14"/>
  <c r="N9" i="14" l="1"/>
  <c r="U9" i="14" s="1"/>
  <c r="J10" i="14"/>
  <c r="N10" i="14" l="1"/>
  <c r="U10" i="14" s="1"/>
  <c r="J11" i="14"/>
  <c r="N11" i="14" l="1"/>
  <c r="U11" i="14" s="1"/>
  <c r="J12" i="14"/>
  <c r="N12" i="14" l="1"/>
  <c r="U12" i="14" s="1"/>
  <c r="J13" i="14"/>
  <c r="N13" i="14" l="1"/>
  <c r="U13" i="14" s="1"/>
  <c r="J14" i="14"/>
  <c r="N14" i="14" l="1"/>
  <c r="U14" i="14" s="1"/>
  <c r="J15" i="14"/>
  <c r="N15" i="14" l="1"/>
  <c r="U15" i="14" s="1"/>
  <c r="J16" i="14"/>
  <c r="N16" i="14" l="1"/>
  <c r="U16" i="14" s="1"/>
  <c r="J17" i="14"/>
  <c r="N17" i="14" l="1"/>
  <c r="U17" i="14" s="1"/>
  <c r="J18" i="14"/>
  <c r="N18" i="14" l="1"/>
  <c r="U18" i="14" s="1"/>
  <c r="J19" i="14"/>
  <c r="N19" i="14" l="1"/>
  <c r="U19" i="14" s="1"/>
  <c r="J20" i="14"/>
  <c r="N20" i="14" l="1"/>
  <c r="U20" i="14" s="1"/>
  <c r="J21" i="14"/>
  <c r="N21" i="14" l="1"/>
  <c r="U21" i="14" s="1"/>
  <c r="J22" i="14"/>
  <c r="N22" i="14" l="1"/>
  <c r="U22" i="14" s="1"/>
  <c r="J23" i="14"/>
  <c r="N23" i="14" l="1"/>
  <c r="U23" i="14" s="1"/>
  <c r="J24" i="14"/>
  <c r="N24" i="14" l="1"/>
  <c r="U24" i="14" s="1"/>
  <c r="J25" i="14"/>
  <c r="N25" i="14" l="1"/>
  <c r="U25" i="14" s="1"/>
  <c r="J26" i="14"/>
  <c r="N26" i="14" l="1"/>
  <c r="U26" i="14" s="1"/>
  <c r="J27" i="14"/>
  <c r="N27" i="14" l="1"/>
  <c r="U27" i="14" s="1"/>
  <c r="J28" i="14"/>
  <c r="N28" i="14" l="1"/>
  <c r="U28" i="14" s="1"/>
  <c r="J29" i="14"/>
  <c r="N29" i="14" l="1"/>
  <c r="U29" i="14" s="1"/>
  <c r="J30" i="14"/>
  <c r="N30" i="14" l="1"/>
  <c r="U30" i="14" s="1"/>
  <c r="J31" i="14"/>
  <c r="N31" i="14" l="1"/>
  <c r="U31" i="14" s="1"/>
  <c r="J32" i="14"/>
  <c r="N32" i="14" l="1"/>
  <c r="U32" i="14" s="1"/>
  <c r="J33" i="14"/>
  <c r="N33" i="14" s="1"/>
  <c r="U33" i="14" s="1"/>
  <c r="U34" i="14" s="1"/>
  <c r="R5" i="12" l="1"/>
  <c r="R6" i="12"/>
  <c r="R7" i="12"/>
  <c r="R8" i="12"/>
  <c r="R9" i="12"/>
  <c r="R10" i="12"/>
  <c r="R11" i="12"/>
  <c r="R12" i="12"/>
  <c r="R13" i="12"/>
  <c r="R14" i="12"/>
  <c r="R15" i="12"/>
  <c r="R16" i="12"/>
  <c r="R17" i="12"/>
  <c r="R18" i="12"/>
  <c r="R19" i="12"/>
  <c r="R20" i="12"/>
  <c r="R21" i="12"/>
  <c r="R22" i="12"/>
  <c r="R23" i="12"/>
  <c r="R24" i="12"/>
  <c r="R25" i="12"/>
  <c r="R26" i="12"/>
  <c r="R27" i="12"/>
  <c r="R28" i="12"/>
  <c r="R29" i="12"/>
  <c r="R30" i="12"/>
  <c r="R31" i="12"/>
  <c r="R32" i="12"/>
  <c r="R33" i="12"/>
  <c r="R34" i="12"/>
  <c r="R35" i="12"/>
  <c r="R36" i="12"/>
  <c r="R4" i="12"/>
  <c r="D12" i="1"/>
  <c r="E5" i="1" s="1"/>
  <c r="C15" i="14"/>
  <c r="C14" i="14"/>
  <c r="L4" i="12"/>
  <c r="E11" i="1" l="1"/>
  <c r="H4" i="1"/>
  <c r="E10" i="1"/>
  <c r="E4" i="1"/>
  <c r="E12" i="1"/>
  <c r="E9" i="1"/>
  <c r="E8" i="1"/>
  <c r="H6" i="1" s="1"/>
  <c r="E7" i="1"/>
  <c r="E6" i="1"/>
  <c r="D19" i="1"/>
  <c r="D20" i="1"/>
  <c r="D18" i="1"/>
  <c r="E6" i="12" l="1"/>
  <c r="E5" i="12"/>
  <c r="H5" i="1"/>
  <c r="H7" i="1" s="1"/>
  <c r="C21" i="1" l="1"/>
  <c r="D21" i="1" s="1"/>
  <c r="I6" i="12"/>
  <c r="B7" i="12" l="1"/>
  <c r="I5" i="12" l="1"/>
  <c r="L5" i="12" s="1"/>
  <c r="I9" i="12"/>
  <c r="I13" i="12"/>
  <c r="I10" i="12"/>
  <c r="I11" i="12"/>
  <c r="I12" i="12"/>
  <c r="I14" i="12"/>
  <c r="I15" i="12"/>
  <c r="O4" i="12"/>
  <c r="B9" i="12" l="1"/>
  <c r="J4" i="12" l="1"/>
  <c r="K4" i="12" s="1"/>
  <c r="Q4" i="12"/>
  <c r="I33" i="12" l="1"/>
  <c r="I35" i="12"/>
  <c r="I32" i="12"/>
  <c r="I34" i="12"/>
  <c r="I36" i="12"/>
  <c r="I31" i="12"/>
  <c r="I30" i="12"/>
  <c r="I7" i="12"/>
  <c r="I24" i="12"/>
  <c r="I8" i="12"/>
  <c r="I17" i="12"/>
  <c r="I28" i="12"/>
  <c r="I20" i="12"/>
  <c r="I29" i="12"/>
  <c r="I21" i="12"/>
  <c r="I16" i="12"/>
  <c r="I27" i="12"/>
  <c r="I25" i="12"/>
  <c r="I26" i="12"/>
  <c r="I18" i="12"/>
  <c r="I19" i="12"/>
  <c r="I22" i="12"/>
  <c r="L6" i="12"/>
  <c r="I23" i="12"/>
  <c r="H5" i="12"/>
  <c r="L7" i="12" l="1"/>
  <c r="L8" i="12" s="1"/>
  <c r="Q5" i="12"/>
  <c r="O5" i="12"/>
  <c r="J5" i="12"/>
  <c r="H6" i="12"/>
  <c r="L9" i="12" l="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J6" i="12"/>
  <c r="K6" i="12" s="1"/>
  <c r="K5" i="12"/>
  <c r="Q6" i="12"/>
  <c r="O6" i="12"/>
  <c r="H7" i="12"/>
  <c r="B18" i="5"/>
  <c r="E17" i="5" s="1"/>
  <c r="B19" i="5"/>
  <c r="E18" i="5" s="1"/>
  <c r="G4" i="7"/>
  <c r="H4" i="7" s="1"/>
  <c r="G4" i="5"/>
  <c r="G5" i="5" s="1"/>
  <c r="G6" i="5" s="1"/>
  <c r="G7" i="5" s="1"/>
  <c r="G8" i="5" s="1"/>
  <c r="G9" i="5" s="1"/>
  <c r="G10" i="5" s="1"/>
  <c r="G11" i="5" s="1"/>
  <c r="G12" i="5" s="1"/>
  <c r="G13" i="5" s="1"/>
  <c r="G14" i="5" s="1"/>
  <c r="B18" i="7"/>
  <c r="B17" i="7"/>
  <c r="B16" i="7"/>
  <c r="E17" i="7"/>
  <c r="C26" i="11" l="1"/>
  <c r="G25" i="11" s="1"/>
  <c r="G5" i="7"/>
  <c r="H5" i="7" s="1"/>
  <c r="J7" i="12"/>
  <c r="K7" i="12" s="1"/>
  <c r="I4" i="7"/>
  <c r="Q7" i="12"/>
  <c r="O7" i="12"/>
  <c r="B21" i="5"/>
  <c r="J14" i="5"/>
  <c r="H14" i="5"/>
  <c r="G15" i="5"/>
  <c r="H10" i="5"/>
  <c r="H8" i="12"/>
  <c r="O8" i="12" s="1"/>
  <c r="H6" i="5"/>
  <c r="H11" i="5"/>
  <c r="B20" i="5"/>
  <c r="J5" i="5"/>
  <c r="J13" i="5"/>
  <c r="J11" i="5"/>
  <c r="J10" i="5"/>
  <c r="J9" i="5"/>
  <c r="J4" i="5"/>
  <c r="J12" i="5"/>
  <c r="J8" i="5"/>
  <c r="J7" i="5"/>
  <c r="J6" i="5"/>
  <c r="H12" i="5"/>
  <c r="H4" i="5"/>
  <c r="H13" i="5"/>
  <c r="H5" i="5"/>
  <c r="H7" i="5"/>
  <c r="H8" i="5"/>
  <c r="H9" i="5"/>
  <c r="I5" i="7" l="1"/>
  <c r="G6" i="7"/>
  <c r="G7" i="7" s="1"/>
  <c r="J8" i="12"/>
  <c r="K8" i="12" s="1"/>
  <c r="Q8" i="12"/>
  <c r="K5" i="5"/>
  <c r="K10" i="5"/>
  <c r="K4" i="5"/>
  <c r="K11" i="5"/>
  <c r="K7" i="5"/>
  <c r="K8" i="5"/>
  <c r="K12" i="5"/>
  <c r="K9" i="5"/>
  <c r="K6" i="5"/>
  <c r="K13" i="5"/>
  <c r="K14" i="5"/>
  <c r="H15" i="5"/>
  <c r="G16" i="5"/>
  <c r="J15" i="5"/>
  <c r="K15" i="5" s="1"/>
  <c r="I13" i="5"/>
  <c r="H9" i="12"/>
  <c r="O9" i="12" s="1"/>
  <c r="I7" i="5"/>
  <c r="I8" i="5"/>
  <c r="I10" i="5"/>
  <c r="I9" i="5"/>
  <c r="I14" i="5"/>
  <c r="I12" i="5"/>
  <c r="I5" i="5"/>
  <c r="I6" i="5"/>
  <c r="I11" i="5"/>
  <c r="B19" i="7"/>
  <c r="I4" i="5"/>
  <c r="H6" i="7" l="1"/>
  <c r="I6" i="7" s="1"/>
  <c r="J6" i="7" s="1"/>
  <c r="J9" i="12"/>
  <c r="K9" i="12" s="1"/>
  <c r="Q9" i="12"/>
  <c r="H16" i="5"/>
  <c r="I16" i="5" s="1"/>
  <c r="J16" i="5"/>
  <c r="K16" i="5" s="1"/>
  <c r="G17" i="5"/>
  <c r="I15" i="5"/>
  <c r="G8" i="7"/>
  <c r="H7" i="7"/>
  <c r="I7" i="7"/>
  <c r="J7" i="7" s="1"/>
  <c r="H10" i="12"/>
  <c r="J5" i="7"/>
  <c r="J4" i="7"/>
  <c r="J10" i="12" l="1"/>
  <c r="K10" i="12" s="1"/>
  <c r="O10" i="12"/>
  <c r="H8" i="7"/>
  <c r="I8" i="7" s="1"/>
  <c r="J8" i="7" s="1"/>
  <c r="G9" i="7"/>
  <c r="G18" i="5"/>
  <c r="H17" i="5"/>
  <c r="J17" i="5"/>
  <c r="K17" i="5" s="1"/>
  <c r="Q10" i="12"/>
  <c r="H11" i="12"/>
  <c r="J11" i="12" l="1"/>
  <c r="K11" i="12" s="1"/>
  <c r="O11" i="12"/>
  <c r="I17" i="5"/>
  <c r="G10" i="7"/>
  <c r="H9" i="7"/>
  <c r="I9" i="7"/>
  <c r="J9" i="7" s="1"/>
  <c r="G19" i="5"/>
  <c r="H18" i="5"/>
  <c r="I18" i="5" s="1"/>
  <c r="J18" i="5"/>
  <c r="K18" i="5" s="1"/>
  <c r="Q11" i="12"/>
  <c r="J12" i="12" l="1"/>
  <c r="K12" i="12" s="1"/>
  <c r="J19" i="5"/>
  <c r="K19" i="5" s="1"/>
  <c r="G20" i="5"/>
  <c r="H19" i="5"/>
  <c r="I19" i="5" s="1"/>
  <c r="G11" i="7"/>
  <c r="H10" i="7"/>
  <c r="I10" i="7" s="1"/>
  <c r="J10" i="7" s="1"/>
  <c r="H13" i="12"/>
  <c r="O13" i="12" s="1"/>
  <c r="J13" i="12" l="1"/>
  <c r="K13" i="12" s="1"/>
  <c r="H11" i="7"/>
  <c r="I11" i="7"/>
  <c r="J11" i="7" s="1"/>
  <c r="G12" i="7"/>
  <c r="J20" i="5"/>
  <c r="K20" i="5" s="1"/>
  <c r="G21" i="5"/>
  <c r="H20" i="5"/>
  <c r="Q13" i="12"/>
  <c r="H14" i="12"/>
  <c r="O14" i="12" s="1"/>
  <c r="J14" i="12" l="1"/>
  <c r="K14" i="12" s="1"/>
  <c r="I20" i="5"/>
  <c r="G13" i="7"/>
  <c r="H12" i="7"/>
  <c r="I12" i="7" s="1"/>
  <c r="J12" i="7" s="1"/>
  <c r="J21" i="5"/>
  <c r="K21" i="5" s="1"/>
  <c r="H21" i="5"/>
  <c r="I21" i="5" s="1"/>
  <c r="G22" i="5"/>
  <c r="Q14" i="12"/>
  <c r="H15" i="12"/>
  <c r="O15" i="12" s="1"/>
  <c r="J15" i="12" l="1"/>
  <c r="K15" i="12" s="1"/>
  <c r="H13" i="7"/>
  <c r="I13" i="7" s="1"/>
  <c r="J13" i="7" s="1"/>
  <c r="G14" i="7"/>
  <c r="J22" i="5"/>
  <c r="K22" i="5" s="1"/>
  <c r="G23" i="5"/>
  <c r="H22" i="5"/>
  <c r="I22" i="5" s="1"/>
  <c r="Q15" i="12"/>
  <c r="H16" i="12"/>
  <c r="O16" i="12" s="1"/>
  <c r="J16" i="12" l="1"/>
  <c r="K16" i="12" s="1"/>
  <c r="H23" i="5"/>
  <c r="I23" i="5" s="1"/>
  <c r="J23" i="5"/>
  <c r="K23" i="5" s="1"/>
  <c r="G24" i="5"/>
  <c r="H14" i="7"/>
  <c r="I14" i="7" s="1"/>
  <c r="J14" i="7" s="1"/>
  <c r="G15" i="7"/>
  <c r="Q16" i="12"/>
  <c r="H17" i="12"/>
  <c r="O17" i="12" s="1"/>
  <c r="J17" i="12" l="1"/>
  <c r="K17" i="12" s="1"/>
  <c r="G16" i="7"/>
  <c r="H15" i="7"/>
  <c r="I15" i="7" s="1"/>
  <c r="J15" i="7" s="1"/>
  <c r="H24" i="5"/>
  <c r="I24" i="5" s="1"/>
  <c r="J24" i="5"/>
  <c r="K24" i="5" s="1"/>
  <c r="B11" i="5" s="1"/>
  <c r="B12" i="5" s="1"/>
  <c r="G25" i="5"/>
  <c r="Q17" i="12"/>
  <c r="H18" i="12"/>
  <c r="O18" i="12" s="1"/>
  <c r="J18" i="12" l="1"/>
  <c r="K18" i="12" s="1"/>
  <c r="G26" i="5"/>
  <c r="H25" i="5"/>
  <c r="I25" i="5" s="1"/>
  <c r="J25" i="5"/>
  <c r="K25" i="5" s="1"/>
  <c r="H16" i="7"/>
  <c r="I16" i="7"/>
  <c r="J16" i="7" s="1"/>
  <c r="G17" i="7"/>
  <c r="Q18" i="12"/>
  <c r="H19" i="12"/>
  <c r="O19" i="12" s="1"/>
  <c r="J19" i="12" l="1"/>
  <c r="K19" i="12" s="1"/>
  <c r="H17" i="7"/>
  <c r="I17" i="7" s="1"/>
  <c r="J17" i="7" s="1"/>
  <c r="G18" i="7"/>
  <c r="G27" i="5"/>
  <c r="H26" i="5"/>
  <c r="I26" i="5" s="1"/>
  <c r="J26" i="5"/>
  <c r="K26" i="5" s="1"/>
  <c r="Q19" i="12"/>
  <c r="H20" i="12"/>
  <c r="J20" i="12" l="1"/>
  <c r="K20" i="12" s="1"/>
  <c r="O20" i="12"/>
  <c r="J27" i="5"/>
  <c r="K27" i="5" s="1"/>
  <c r="G28" i="5"/>
  <c r="H27" i="5"/>
  <c r="I27" i="5" s="1"/>
  <c r="G19" i="7"/>
  <c r="H18" i="7"/>
  <c r="I18" i="7" s="1"/>
  <c r="J18" i="7" s="1"/>
  <c r="Q20" i="12"/>
  <c r="H21" i="12"/>
  <c r="O21" i="12" s="1"/>
  <c r="E4" i="12" l="1"/>
  <c r="F4" i="12"/>
  <c r="J21" i="12"/>
  <c r="K21" i="12" s="1"/>
  <c r="G29" i="5"/>
  <c r="H28" i="5"/>
  <c r="I28" i="5" s="1"/>
  <c r="J28" i="5"/>
  <c r="K28" i="5" s="1"/>
  <c r="H19" i="7"/>
  <c r="I19" i="7"/>
  <c r="J19" i="7" s="1"/>
  <c r="G20" i="7"/>
  <c r="Q21" i="12"/>
  <c r="H22" i="12"/>
  <c r="O22" i="12" s="1"/>
  <c r="J22" i="12" l="1"/>
  <c r="K22" i="12" s="1"/>
  <c r="N4" i="12"/>
  <c r="N5" i="12" s="1"/>
  <c r="N6" i="12" s="1"/>
  <c r="N7" i="12" s="1"/>
  <c r="N8" i="12" s="1"/>
  <c r="N9" i="12" s="1"/>
  <c r="N10" i="12" s="1"/>
  <c r="N11" i="12" s="1"/>
  <c r="N12" i="12" s="1"/>
  <c r="N13" i="12" s="1"/>
  <c r="N14" i="12" s="1"/>
  <c r="N15" i="12" s="1"/>
  <c r="N16" i="12" s="1"/>
  <c r="N17" i="12" s="1"/>
  <c r="N18" i="12" s="1"/>
  <c r="N19" i="12" s="1"/>
  <c r="N20" i="12" s="1"/>
  <c r="N21" i="12" s="1"/>
  <c r="N22" i="12" s="1"/>
  <c r="M4" i="12"/>
  <c r="G21" i="7"/>
  <c r="H20" i="7"/>
  <c r="I20" i="7" s="1"/>
  <c r="J20" i="7" s="1"/>
  <c r="J29" i="5"/>
  <c r="K29" i="5" s="1"/>
  <c r="H29" i="5"/>
  <c r="Q22" i="12"/>
  <c r="H23" i="12"/>
  <c r="O23" i="12" s="1"/>
  <c r="J23" i="12" l="1"/>
  <c r="K23" i="12" s="1"/>
  <c r="P4" i="12"/>
  <c r="S4" i="12" s="1"/>
  <c r="T4" i="12" s="1"/>
  <c r="M5" i="12"/>
  <c r="N23" i="12"/>
  <c r="I29" i="5"/>
  <c r="B13" i="5"/>
  <c r="H21" i="7"/>
  <c r="I21" i="7" s="1"/>
  <c r="J21" i="7" s="1"/>
  <c r="G22" i="7"/>
  <c r="Q23" i="12"/>
  <c r="H24" i="12"/>
  <c r="O24" i="12" s="1"/>
  <c r="J24" i="12" l="1"/>
  <c r="K24" i="12" s="1"/>
  <c r="P5" i="12"/>
  <c r="S5" i="12" s="1"/>
  <c r="T5" i="12" s="1"/>
  <c r="M6" i="12"/>
  <c r="P6" i="12" s="1"/>
  <c r="N24" i="12"/>
  <c r="H22" i="7"/>
  <c r="I22" i="7" s="1"/>
  <c r="J22" i="7" s="1"/>
  <c r="G23" i="7"/>
  <c r="Q24" i="12"/>
  <c r="H25" i="12"/>
  <c r="O25" i="12" s="1"/>
  <c r="J25" i="12" l="1"/>
  <c r="K25" i="12" s="1"/>
  <c r="M7" i="12"/>
  <c r="S6" i="12"/>
  <c r="T6" i="12" s="1"/>
  <c r="N25" i="12"/>
  <c r="G24" i="7"/>
  <c r="H23" i="7"/>
  <c r="I23" i="7" s="1"/>
  <c r="J23" i="7" s="1"/>
  <c r="Q25" i="12"/>
  <c r="H26" i="12"/>
  <c r="O26" i="12" s="1"/>
  <c r="J26" i="12" l="1"/>
  <c r="K26" i="12" s="1"/>
  <c r="M8" i="12"/>
  <c r="P8" i="12" s="1"/>
  <c r="S8" i="12" s="1"/>
  <c r="P7" i="12"/>
  <c r="S7" i="12" s="1"/>
  <c r="T7" i="12" s="1"/>
  <c r="N26" i="12"/>
  <c r="H24" i="7"/>
  <c r="I24" i="7" s="1"/>
  <c r="J24" i="7" s="1"/>
  <c r="G25" i="7"/>
  <c r="Q26" i="12"/>
  <c r="H27" i="12"/>
  <c r="O27" i="12" s="1"/>
  <c r="J27" i="12" l="1"/>
  <c r="K27" i="12" s="1"/>
  <c r="T8" i="12"/>
  <c r="M9" i="12"/>
  <c r="N27" i="12"/>
  <c r="G26" i="7"/>
  <c r="H25" i="7"/>
  <c r="I25" i="7" s="1"/>
  <c r="J25" i="7" s="1"/>
  <c r="Q27" i="12"/>
  <c r="H28" i="12"/>
  <c r="O28" i="12" s="1"/>
  <c r="P9" i="12" l="1"/>
  <c r="S9" i="12" s="1"/>
  <c r="T9" i="12" s="1"/>
  <c r="M10" i="12"/>
  <c r="J28" i="12"/>
  <c r="K28" i="12" s="1"/>
  <c r="N28" i="12"/>
  <c r="G27" i="7"/>
  <c r="H26" i="7"/>
  <c r="I26" i="7" s="1"/>
  <c r="J26" i="7" s="1"/>
  <c r="Q28" i="12"/>
  <c r="H29" i="12"/>
  <c r="O29" i="12" s="1"/>
  <c r="P10" i="12" l="1"/>
  <c r="S10" i="12" s="1"/>
  <c r="T10" i="12" s="1"/>
  <c r="M11" i="12"/>
  <c r="J29" i="12"/>
  <c r="K29" i="12" s="1"/>
  <c r="N29" i="12"/>
  <c r="H27" i="7"/>
  <c r="I27" i="7" s="1"/>
  <c r="J27" i="7" s="1"/>
  <c r="G28" i="7"/>
  <c r="H30" i="12"/>
  <c r="O30" i="12" s="1"/>
  <c r="Q29" i="12"/>
  <c r="M12" i="12" l="1"/>
  <c r="P11" i="12"/>
  <c r="S11" i="12" s="1"/>
  <c r="T11" i="12" s="1"/>
  <c r="J30" i="12"/>
  <c r="K30" i="12" s="1"/>
  <c r="N30" i="12"/>
  <c r="H28" i="7"/>
  <c r="I28" i="7" s="1"/>
  <c r="J28" i="7" s="1"/>
  <c r="G29" i="7"/>
  <c r="Q30" i="12"/>
  <c r="H31" i="12"/>
  <c r="O31" i="12" s="1"/>
  <c r="P12" i="12" l="1"/>
  <c r="M13" i="12"/>
  <c r="J31" i="12"/>
  <c r="K31" i="12" s="1"/>
  <c r="N31" i="12"/>
  <c r="H32" i="12"/>
  <c r="O32" i="12" s="1"/>
  <c r="H29" i="7"/>
  <c r="I29" i="7" s="1"/>
  <c r="J29" i="7" s="1"/>
  <c r="B11" i="7" s="1"/>
  <c r="B12" i="7" s="1"/>
  <c r="Q31" i="12"/>
  <c r="S12" i="12" l="1"/>
  <c r="T12" i="12" s="1"/>
  <c r="P13" i="12"/>
  <c r="S13" i="12" s="1"/>
  <c r="T13" i="12" s="1"/>
  <c r="M14" i="12"/>
  <c r="J32" i="12"/>
  <c r="K32" i="12" s="1"/>
  <c r="Q32" i="12"/>
  <c r="H33" i="12"/>
  <c r="O33" i="12" s="1"/>
  <c r="N32" i="12"/>
  <c r="M15" i="12" l="1"/>
  <c r="P14" i="12"/>
  <c r="S14" i="12" s="1"/>
  <c r="T14" i="12" s="1"/>
  <c r="J33" i="12"/>
  <c r="K33" i="12" s="1"/>
  <c r="H34" i="12"/>
  <c r="O34" i="12" s="1"/>
  <c r="Q33" i="12"/>
  <c r="N33" i="12"/>
  <c r="P15" i="12" l="1"/>
  <c r="S15" i="12" s="1"/>
  <c r="T15" i="12" s="1"/>
  <c r="M16" i="12"/>
  <c r="J34" i="12"/>
  <c r="K34" i="12" s="1"/>
  <c r="H35" i="12"/>
  <c r="O35" i="12" s="1"/>
  <c r="N34" i="12"/>
  <c r="Q34" i="12"/>
  <c r="P16" i="12" l="1"/>
  <c r="S16" i="12" s="1"/>
  <c r="T16" i="12" s="1"/>
  <c r="M17" i="12"/>
  <c r="J35" i="12"/>
  <c r="K35" i="12" s="1"/>
  <c r="Q35" i="12"/>
  <c r="N35" i="12"/>
  <c r="H36" i="12"/>
  <c r="O36" i="12" s="1"/>
  <c r="P17" i="12" l="1"/>
  <c r="S17" i="12" s="1"/>
  <c r="T17" i="12" s="1"/>
  <c r="M18" i="12"/>
  <c r="J36" i="12"/>
  <c r="K36" i="12" s="1"/>
  <c r="Q36" i="12"/>
  <c r="N36" i="12"/>
  <c r="P18" i="12" l="1"/>
  <c r="S18" i="12" s="1"/>
  <c r="T18" i="12" s="1"/>
  <c r="M19" i="12"/>
  <c r="M20" i="12" l="1"/>
  <c r="P19" i="12"/>
  <c r="S19" i="12" s="1"/>
  <c r="T19" i="12" s="1"/>
  <c r="P20" i="12" l="1"/>
  <c r="S20" i="12" s="1"/>
  <c r="T20" i="12" s="1"/>
  <c r="M21" i="12"/>
  <c r="M22" i="12" l="1"/>
  <c r="P21" i="12"/>
  <c r="S21" i="12" s="1"/>
  <c r="T21" i="12" s="1"/>
  <c r="M23" i="12" l="1"/>
  <c r="P22" i="12"/>
  <c r="S22" i="12" s="1"/>
  <c r="T22" i="12" s="1"/>
  <c r="M24" i="12" l="1"/>
  <c r="P23" i="12"/>
  <c r="S23" i="12" s="1"/>
  <c r="T23" i="12" s="1"/>
  <c r="P24" i="12" l="1"/>
  <c r="S24" i="12" s="1"/>
  <c r="T24" i="12" s="1"/>
  <c r="M25" i="12"/>
  <c r="P25" i="12" l="1"/>
  <c r="S25" i="12" s="1"/>
  <c r="T25" i="12" s="1"/>
  <c r="M26" i="12"/>
  <c r="M27" i="12" l="1"/>
  <c r="P26" i="12"/>
  <c r="S26" i="12" s="1"/>
  <c r="T26" i="12" s="1"/>
  <c r="P27" i="12" l="1"/>
  <c r="S27" i="12" s="1"/>
  <c r="T27" i="12" s="1"/>
  <c r="M28" i="12"/>
  <c r="P28" i="12" l="1"/>
  <c r="S28" i="12" s="1"/>
  <c r="T28" i="12" s="1"/>
  <c r="M29" i="12"/>
  <c r="P29" i="12" l="1"/>
  <c r="S29" i="12" s="1"/>
  <c r="T29" i="12" s="1"/>
  <c r="M30" i="12"/>
  <c r="P30" i="12" l="1"/>
  <c r="S30" i="12" s="1"/>
  <c r="T30" i="12" s="1"/>
  <c r="M31" i="12"/>
  <c r="P31" i="12" l="1"/>
  <c r="S31" i="12" s="1"/>
  <c r="T31" i="12" s="1"/>
  <c r="M32" i="12"/>
  <c r="P32" i="12" l="1"/>
  <c r="S32" i="12" s="1"/>
  <c r="T32" i="12" s="1"/>
  <c r="M33" i="12"/>
  <c r="P33" i="12" l="1"/>
  <c r="S33" i="12" s="1"/>
  <c r="T33" i="12" s="1"/>
  <c r="M34" i="12"/>
  <c r="P34" i="12" l="1"/>
  <c r="S34" i="12" s="1"/>
  <c r="T34" i="12" s="1"/>
  <c r="M35" i="12"/>
  <c r="P35" i="12" l="1"/>
  <c r="S35" i="12" s="1"/>
  <c r="T35" i="12" s="1"/>
  <c r="M36" i="12"/>
  <c r="P36" i="12" s="1"/>
  <c r="S36" i="12" s="1"/>
  <c r="T36" i="12" s="1"/>
  <c r="T37" i="12" l="1"/>
  <c r="C39" i="11" s="1"/>
</calcChain>
</file>

<file path=xl/sharedStrings.xml><?xml version="1.0" encoding="utf-8"?>
<sst xmlns="http://schemas.openxmlformats.org/spreadsheetml/2006/main" count="344" uniqueCount="249">
  <si>
    <t>Home</t>
  </si>
  <si>
    <t>Work</t>
  </si>
  <si>
    <t>Non-Work</t>
  </si>
  <si>
    <t>Non-Home</t>
  </si>
  <si>
    <t>Truck</t>
  </si>
  <si>
    <t>Taxi</t>
  </si>
  <si>
    <t>External Auto</t>
  </si>
  <si>
    <t>Personal</t>
  </si>
  <si>
    <t>Business</t>
  </si>
  <si>
    <t>Weighted Average:</t>
  </si>
  <si>
    <t>Project Information</t>
  </si>
  <si>
    <t>Assumptions</t>
  </si>
  <si>
    <t>Base Year</t>
  </si>
  <si>
    <t>Discount Rate</t>
  </si>
  <si>
    <t>Vehicle Occupancy</t>
  </si>
  <si>
    <t>Name:</t>
  </si>
  <si>
    <t>ID Number:</t>
  </si>
  <si>
    <t>New HOV?</t>
  </si>
  <si>
    <t>Value of Travel Time (VoTT)</t>
  </si>
  <si>
    <t>Without Project</t>
  </si>
  <si>
    <t>With Project</t>
  </si>
  <si>
    <t>Control Values</t>
  </si>
  <si>
    <t>YES</t>
  </si>
  <si>
    <t>NO</t>
  </si>
  <si>
    <t>Year</t>
  </si>
  <si>
    <t>Facility V/C Ratio</t>
  </si>
  <si>
    <t>Interim Calculations</t>
  </si>
  <si>
    <t>Annual Days of Travel</t>
  </si>
  <si>
    <t>Delay B/C Ratio</t>
  </si>
  <si>
    <t>BCA Results</t>
  </si>
  <si>
    <t>Daily System/Facility Data</t>
  </si>
  <si>
    <t>Annual VHT Savings</t>
  </si>
  <si>
    <t>Common Values:</t>
  </si>
  <si>
    <t>Delay Analysis Values:</t>
  </si>
  <si>
    <t>Base Year for Analysis</t>
  </si>
  <si>
    <t>Real Discount Rate</t>
  </si>
  <si>
    <t>VOC Emissions Factor (g/mi)</t>
  </si>
  <si>
    <t>Nox Emissions Factor (g/mi)</t>
  </si>
  <si>
    <t>Emissions Reduction Estimates</t>
  </si>
  <si>
    <t>VMT Reduced (Daily)</t>
  </si>
  <si>
    <t>AND</t>
  </si>
  <si>
    <t>OR</t>
  </si>
  <si>
    <t>Project Life (see MOSER page A.8.9)</t>
  </si>
  <si>
    <t>Bike/Ped or LCI?</t>
  </si>
  <si>
    <t>VOC Emissions Reduced (metric tons/yr)</t>
  </si>
  <si>
    <t>NOx Emissions Reduced (metric tons/yr)</t>
  </si>
  <si>
    <t>NOx Reduced (tonnes/yr)</t>
  </si>
  <si>
    <t>VOC Reduced (tonnes/year)</t>
  </si>
  <si>
    <t>IDAS Vehicle Occupancy</t>
  </si>
  <si>
    <t>Annual VHT Reduction (Vehicles)</t>
  </si>
  <si>
    <t>Annual PHT Reduction (IDAS)</t>
  </si>
  <si>
    <t>Discounted Delay Benefits (2015 $, '000s)</t>
  </si>
  <si>
    <t>Year Open to Traffic?</t>
  </si>
  <si>
    <t>Total Cost (2015 $, '000s)</t>
  </si>
  <si>
    <t>Federal Funding Req. (2015 $, '000s)</t>
  </si>
  <si>
    <t>Value of Delay Savings (2013 $, '000s)</t>
  </si>
  <si>
    <t>Cargo</t>
  </si>
  <si>
    <t>Service</t>
  </si>
  <si>
    <t>Value of VOC Savings (2013 $, '000s)</t>
  </si>
  <si>
    <t>Value of NOx Savings (2013 $, '000s)</t>
  </si>
  <si>
    <t>Discounted Emissions Benefits (2015 $, '000s)</t>
  </si>
  <si>
    <t>Annualized Cost Effectiveness (2015 $, '000s/tonne)</t>
  </si>
  <si>
    <t>Volatile Organic Compounds (VOCs), $ / metric ton (2015 $)</t>
  </si>
  <si>
    <t>Nitrogen oxides (NOx), $ / metric ton (2015 $)</t>
  </si>
  <si>
    <t>Years to include in BCA Analysis</t>
  </si>
  <si>
    <t>Application ID Number:</t>
  </si>
  <si>
    <t>Use in Analysis?</t>
  </si>
  <si>
    <t>Demand Growth</t>
  </si>
  <si>
    <t>Benefit Cap</t>
  </si>
  <si>
    <t>Real wage growth rate</t>
  </si>
  <si>
    <t>n/a</t>
  </si>
  <si>
    <t>Benefit Results</t>
  </si>
  <si>
    <t>INPUTS</t>
  </si>
  <si>
    <t>OUTPUTS</t>
  </si>
  <si>
    <t>Value of Time</t>
  </si>
  <si>
    <t>Value of Delay Savings ($ 000')</t>
  </si>
  <si>
    <t>NPV @ 7% ($ 000')</t>
  </si>
  <si>
    <t>Daily Travel Demand</t>
  </si>
  <si>
    <t>Project Title:</t>
  </si>
  <si>
    <t>County</t>
  </si>
  <si>
    <t>Facility Type</t>
  </si>
  <si>
    <t>Limits (From)</t>
  </si>
  <si>
    <t>Limits (To)</t>
  </si>
  <si>
    <t>Length (in Miles)</t>
  </si>
  <si>
    <t>Service Life (years):</t>
  </si>
  <si>
    <t>Access Management</t>
  </si>
  <si>
    <t xml:space="preserve">Grade Separation </t>
  </si>
  <si>
    <t>Median U-Turns</t>
  </si>
  <si>
    <t>Ramp Configuration</t>
  </si>
  <si>
    <t>Superstreets</t>
  </si>
  <si>
    <t>Aggressive Incident Clearance</t>
  </si>
  <si>
    <t>Dynamic Truck Restrictions</t>
  </si>
  <si>
    <t>Intersection Turn Lanes</t>
  </si>
  <si>
    <t>Roundabouts</t>
  </si>
  <si>
    <t>Truck Lane Restrictions</t>
  </si>
  <si>
    <t>Trip Reduction Options</t>
  </si>
  <si>
    <t>Shoulder Pavement Upgrades</t>
  </si>
  <si>
    <t>Sustainable Pavements</t>
  </si>
  <si>
    <t>Within Service life</t>
  </si>
  <si>
    <t>Proposed Improvements Information</t>
  </si>
  <si>
    <t>Type of Improvement</t>
  </si>
  <si>
    <r>
      <t xml:space="preserve">Acceleration/Deceleration Lanes (Speed Change Lane) </t>
    </r>
    <r>
      <rPr>
        <i/>
        <sz val="11"/>
        <color rgb="FF231F20"/>
        <rFont val="Calibri"/>
        <family val="2"/>
        <scheme val="minor"/>
      </rPr>
      <t/>
    </r>
  </si>
  <si>
    <t>Bottleneck Removal</t>
  </si>
  <si>
    <t xml:space="preserve">Freight Shuttle System </t>
  </si>
  <si>
    <t xml:space="preserve">Managed HOT/HOV Lanes </t>
  </si>
  <si>
    <t xml:space="preserve">Adding New Lanes or Roads </t>
  </si>
  <si>
    <t>Adding New Toll Roads</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</si>
  <si>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</si>
  <si>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</si>
  <si>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</si>
  <si>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</si>
  <si>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</si>
  <si>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</si>
  <si>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</si>
  <si>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</si>
  <si>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</si>
  <si>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</si>
  <si>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</si>
  <si>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</si>
  <si>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</si>
  <si>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</si>
  <si>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</si>
  <si>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</si>
  <si>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</si>
  <si>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</si>
  <si>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</si>
  <si>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</si>
  <si>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Continuous Flow Intersections</t>
  </si>
  <si>
    <t>Quadrant Intersections</t>
  </si>
  <si>
    <t>Loop Ramps Reducing Left Turns</t>
  </si>
  <si>
    <t>One-Way Streets</t>
  </si>
  <si>
    <t>Freight Rail Improvements</t>
  </si>
  <si>
    <t>Commercial Vehicle Accommodations</t>
  </si>
  <si>
    <t>Truck Incentives &amp; Use Restrictions</t>
  </si>
  <si>
    <t>Signal Operations &amp; Management</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</si>
  <si>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</si>
  <si>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</si>
  <si>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</si>
  <si>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</si>
  <si>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</si>
  <si>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</si>
  <si>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</si>
  <si>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</si>
  <si>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</si>
  <si>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</si>
  <si>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</si>
  <si>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</si>
  <si>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</si>
  <si>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</si>
  <si>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</si>
  <si>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</si>
  <si>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</si>
  <si>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</si>
  <si>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</si>
  <si>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</si>
  <si>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</si>
  <si>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</si>
  <si>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</si>
  <si>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</si>
  <si>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</si>
  <si>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</si>
  <si>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</si>
  <si>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</si>
  <si>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State Employee Trip Reduction</t>
  </si>
  <si>
    <t>Data entered by the sponsors</t>
  </si>
  <si>
    <t>Benefits calculated by the template</t>
  </si>
  <si>
    <t>Source: https://policy.tti.tamu.edu/congestion/estimating-congestion-benefits-of-transportation-projects-with-fixit-2-0/</t>
  </si>
  <si>
    <t>Strategies/Type of Improvement</t>
  </si>
  <si>
    <t>Estimated Delay Reduction Local Max</t>
  </si>
  <si>
    <t>Estimated Delay Reduction Local</t>
  </si>
  <si>
    <t>Estimated Delay Reduction Region Max</t>
  </si>
  <si>
    <t>Estimated Delay Reduction Region</t>
  </si>
  <si>
    <t>Brazoria</t>
  </si>
  <si>
    <t>Chambers</t>
  </si>
  <si>
    <t>Fort Bend</t>
  </si>
  <si>
    <t>Harris</t>
  </si>
  <si>
    <t>Liberty</t>
  </si>
  <si>
    <t>Montgomery</t>
  </si>
  <si>
    <t>Waller</t>
  </si>
  <si>
    <t>Facility Types</t>
  </si>
  <si>
    <t>Freeway</t>
  </si>
  <si>
    <t>Non Freeway</t>
  </si>
  <si>
    <t>Data populated/calculated based on inputs</t>
  </si>
  <si>
    <t>Galveston</t>
  </si>
  <si>
    <t>Percentage of ADT in Peak Period Traffic ((6am - 9am) + (3pm - 7pm))</t>
  </si>
  <si>
    <t>Estimated Delay Reductions Table</t>
  </si>
  <si>
    <t>2021 Call For Projects - Benefit-Cost Analysis Assumptions*</t>
  </si>
  <si>
    <t>Value of Travel Time (VoTT), 2020 $</t>
  </si>
  <si>
    <t>Percentage gain in Wages (2019-2020)</t>
  </si>
  <si>
    <t>2019 $ per person-hour)</t>
  </si>
  <si>
    <t>2021 $ per person-hour)</t>
  </si>
  <si>
    <t>2030-2045 Demand Growth</t>
  </si>
  <si>
    <t>Federal Functional class</t>
  </si>
  <si>
    <t>Funtional class</t>
  </si>
  <si>
    <t>Interstate</t>
  </si>
  <si>
    <t>Principal Arterial - (Other Freeways and Expressways)</t>
  </si>
  <si>
    <t>Principal Arterial - Other</t>
  </si>
  <si>
    <t>Minor Arterial</t>
  </si>
  <si>
    <t>Major Collector</t>
  </si>
  <si>
    <t>Minor Collector</t>
  </si>
  <si>
    <t>Street Name/Location:</t>
  </si>
  <si>
    <t>HGAC regional travel demand model data may be provided by HGAC</t>
  </si>
  <si>
    <t>Annual Days of Travel*</t>
  </si>
  <si>
    <t>Project Identification/Location</t>
  </si>
  <si>
    <t>NOT FOR ACTIVE TRANSPORTATION PROJECTS</t>
  </si>
  <si>
    <t>Person Trips by Purpose, H-GAC Regional Travel Demand Model</t>
  </si>
  <si>
    <r>
      <t xml:space="preserve">Year Open to Traffic? </t>
    </r>
    <r>
      <rPr>
        <b/>
        <sz val="11"/>
        <color theme="1"/>
        <rFont val="Calibri"/>
        <family val="2"/>
        <scheme val="minor"/>
      </rPr>
      <t>(Must be &gt;=2025)</t>
    </r>
  </si>
  <si>
    <t>*Annual Days of Travel = 365</t>
  </si>
  <si>
    <t>Estimated Delay Reduction</t>
  </si>
  <si>
    <t>MPOID/CSJ #</t>
  </si>
  <si>
    <t>Discounted Delay Benefits @ 7% (2021 $, '000s)</t>
  </si>
  <si>
    <t>Value of Travel Time (VoTT), 2021 $</t>
  </si>
  <si>
    <t>2021-2030 Demand Growth</t>
  </si>
  <si>
    <t>2021 Traffic Volume (AADT)</t>
  </si>
  <si>
    <r>
      <t>Without Project</t>
    </r>
    <r>
      <rPr>
        <i/>
        <vertAlign val="superscript"/>
        <sz val="11"/>
        <color theme="0"/>
        <rFont val="Calibri"/>
        <family val="2"/>
        <scheme val="minor"/>
      </rPr>
      <t>1</t>
    </r>
  </si>
  <si>
    <r>
      <t>With Project</t>
    </r>
    <r>
      <rPr>
        <i/>
        <vertAlign val="superscript"/>
        <sz val="11"/>
        <color theme="0"/>
        <rFont val="Calibri"/>
        <family val="2"/>
        <scheme val="minor"/>
      </rPr>
      <t>2</t>
    </r>
  </si>
  <si>
    <t>Total Delay build</t>
  </si>
  <si>
    <t>Annual Delay at RXR nobuild</t>
  </si>
  <si>
    <t>Daily # of Vehicles Stopped at RXR</t>
  </si>
  <si>
    <t xml:space="preserve">Estimated Annual Vehicle Hours of Delay at RXR in Year Open to Traffic </t>
  </si>
  <si>
    <r>
      <t xml:space="preserve">Average Daily </t>
    </r>
    <r>
      <rPr>
        <b/>
        <sz val="11"/>
        <color theme="1"/>
        <rFont val="Calibri"/>
        <family val="2"/>
        <scheme val="minor"/>
      </rPr>
      <t>Minutes</t>
    </r>
    <r>
      <rPr>
        <sz val="11"/>
        <color theme="1"/>
        <rFont val="Calibri"/>
        <family val="2"/>
        <scheme val="minor"/>
      </rPr>
      <t xml:space="preserve"> Traffic is Stopped at-Grade Railroad Crossing</t>
    </r>
  </si>
  <si>
    <t>Daily # of Vehicles Stopped at-Grade Railroad Crossing</t>
  </si>
  <si>
    <t>Daily Traffic stopped at at-grade railroad crossing location in Year Open to Traffic</t>
  </si>
  <si>
    <t>Estimated Average Daily Vehicle Hours of  delay at the existing railroad at-grade crossing (in hours)</t>
  </si>
  <si>
    <t>Annual Vehicle Hours of Delay  Savings</t>
  </si>
  <si>
    <t>Blank</t>
  </si>
  <si>
    <t>Growth Rate</t>
  </si>
  <si>
    <t>County Name</t>
  </si>
  <si>
    <t>2023-2030</t>
  </si>
  <si>
    <t>2030-2045</t>
  </si>
  <si>
    <t>2021 Peak Period AADT</t>
  </si>
  <si>
    <t>Peak Period AADT in Year Open to Traffic</t>
  </si>
  <si>
    <t>Traffic Volume in Year Open to Traffic</t>
  </si>
  <si>
    <t>Value of Travel Time, TIGER BCA Resource Guide (2023)</t>
  </si>
  <si>
    <t>Useed for this temaplate</t>
  </si>
  <si>
    <t>Port Road Grade Separation</t>
  </si>
  <si>
    <t xml:space="preserve">Port Road </t>
  </si>
  <si>
    <t>Although the crossing is expected to be .5 miles the stopped traffic is anticipated 1.5 to 6 miles throughout the life of the asset.</t>
  </si>
  <si>
    <t>Daily Traffic Interruptions</t>
  </si>
  <si>
    <t>Vehicle Hours of Delay Improvements in Year Open to Traffic</t>
  </si>
  <si>
    <t>Loaded Imports</t>
  </si>
  <si>
    <t>Loaded Exports</t>
  </si>
  <si>
    <t>Loaded Total</t>
  </si>
  <si>
    <t>Empty Imports</t>
  </si>
  <si>
    <t>Empty Exports</t>
  </si>
  <si>
    <t>Empty Total</t>
  </si>
  <si>
    <t>Grand Total</t>
  </si>
  <si>
    <t>ACTUAL</t>
  </si>
  <si>
    <t>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</si>
</sst>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
      <b/>
      <u/>
      <sz val="11"/>
      <color theme="1"/>
      <name val="Calibri"/>
      <family val="2"/>
      <scheme val="minor"/>
    </font>
    <font>
      <i/>
      <vertAlign val="superscript"/>
      <sz val="11"/>
      <color theme="0"/>
      <name val="Calibri"/>
      <family val="2"/>
      <scheme val="minor"/>
    </font>
    <font>
      <sz val="8"/>
      <color theme="0" tint="-0.499984740745262"/>
      <name val="Calibri"/>
      <family val="2"/>
      <scheme val="minor"/>
    </font>
  </fonts>
  <fills count="22">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92D050"/>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5" fontId="0" fillId="7" borderId="1" xfId="2" applyNumberFormat="1" applyFont="1" applyFill="1" applyBorder="1" applyAlignment="1" applyProtection="1">
      <alignment horizontal="center"/>
    </xf>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pplyProtection="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69" fontId="0" fillId="0" borderId="1" xfId="3" applyNumberFormat="1" applyFont="1" applyFill="1" applyBorder="1"/>
    <xf numFmtId="164" fontId="0" fillId="0" borderId="0" xfId="1" applyNumberFormat="1" applyFont="1" applyFill="1"/>
    <xf numFmtId="10" fontId="0" fillId="0" borderId="0" xfId="3" applyNumberFormat="1" applyFont="1" applyFill="1"/>
    <xf numFmtId="164" fontId="3" fillId="0" borderId="0" xfId="0" applyNumberFormat="1" applyFont="1"/>
    <xf numFmtId="0" fontId="5" fillId="0" borderId="0" xfId="0" applyFont="1" applyAlignment="1">
      <alignment horizontal="right"/>
    </xf>
    <xf numFmtId="0" fontId="0" fillId="0" borderId="0" xfId="0" applyAlignment="1">
      <alignment horizontal="left"/>
    </xf>
    <xf numFmtId="44" fontId="0" fillId="0" borderId="0" xfId="2" applyFont="1" applyFill="1"/>
    <xf numFmtId="44" fontId="0" fillId="0" borderId="0" xfId="0" applyNumberFormat="1"/>
    <xf numFmtId="0" fontId="3" fillId="14" borderId="1" xfId="0" applyFont="1" applyFill="1" applyBorder="1" applyAlignment="1">
      <alignment horizontal="left" vertical="center" wrapText="1"/>
    </xf>
    <xf numFmtId="9" fontId="0" fillId="0" borderId="1" xfId="0" applyNumberFormat="1" applyBorder="1"/>
    <xf numFmtId="0" fontId="3" fillId="14" borderId="2" xfId="0" applyFont="1" applyFill="1" applyBorder="1" applyAlignment="1">
      <alignment horizontal="left" vertical="center" wrapText="1"/>
    </xf>
    <xf numFmtId="9" fontId="0" fillId="0" borderId="2" xfId="0" applyNumberFormat="1" applyBorder="1"/>
    <xf numFmtId="0" fontId="9" fillId="0" borderId="0" xfId="0" applyFont="1" applyAlignment="1" applyProtection="1">
      <alignment vertical="center" wrapText="1"/>
      <protection locked="0"/>
    </xf>
    <xf numFmtId="0" fontId="0" fillId="18" borderId="1" xfId="0" applyFill="1" applyBorder="1" applyAlignment="1" applyProtection="1">
      <alignment vertical="center"/>
      <protection locked="0"/>
    </xf>
    <xf numFmtId="0" fontId="3" fillId="14" borderId="3" xfId="0" applyFont="1" applyFill="1" applyBorder="1" applyAlignment="1">
      <alignment horizontal="left" vertical="center" wrapText="1"/>
    </xf>
    <xf numFmtId="44" fontId="3" fillId="0" borderId="0" xfId="2" applyFont="1" applyFill="1"/>
    <xf numFmtId="3" fontId="0" fillId="3" borderId="1" xfId="0" applyNumberFormat="1" applyFill="1" applyBorder="1" applyAlignment="1" applyProtection="1">
      <alignment horizontal="left" vertical="center"/>
      <protection locked="0"/>
    </xf>
    <xf numFmtId="3" fontId="0" fillId="18" borderId="1" xfId="0" applyNumberFormat="1" applyFill="1" applyBorder="1" applyAlignment="1">
      <alignment horizontal="left" vertical="center"/>
    </xf>
    <xf numFmtId="44" fontId="0" fillId="2" borderId="0" xfId="0" applyNumberFormat="1" applyFill="1"/>
    <xf numFmtId="0" fontId="14" fillId="0" borderId="0" xfId="0" applyFont="1" applyAlignment="1" applyProtection="1">
      <alignment vertical="center"/>
      <protection locked="0"/>
    </xf>
    <xf numFmtId="0" fontId="0" fillId="0" borderId="0" xfId="0" applyAlignment="1" applyProtection="1">
      <alignment vertical="center"/>
      <protection locked="0"/>
    </xf>
    <xf numFmtId="0" fontId="8" fillId="0" borderId="5" xfId="0"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 xfId="0" applyFill="1" applyBorder="1" applyAlignment="1" applyProtection="1">
      <alignment horizontal="left" vertical="center"/>
      <protection locked="0"/>
    </xf>
    <xf numFmtId="0" fontId="0" fillId="16" borderId="1" xfId="0" applyFill="1" applyBorder="1" applyAlignment="1" applyProtection="1">
      <alignment vertical="center"/>
      <protection locked="0"/>
    </xf>
    <xf numFmtId="166" fontId="0" fillId="5" borderId="1" xfId="0" applyNumberFormat="1" applyFill="1" applyBorder="1" applyAlignment="1">
      <alignment vertical="center"/>
    </xf>
    <xf numFmtId="0" fontId="2" fillId="0" borderId="0" xfId="0" applyFont="1" applyAlignment="1" applyProtection="1">
      <alignment vertical="center"/>
      <protection locked="0"/>
    </xf>
    <xf numFmtId="167" fontId="0" fillId="0" borderId="0" xfId="0" applyNumberFormat="1" applyAlignment="1" applyProtection="1">
      <alignment vertical="center"/>
      <protection locked="0"/>
    </xf>
    <xf numFmtId="0" fontId="0" fillId="0" borderId="0" xfId="0" applyAlignment="1" applyProtection="1">
      <alignment horizontal="left" vertical="center"/>
      <protection locked="0"/>
    </xf>
    <xf numFmtId="170" fontId="0" fillId="0" borderId="0" xfId="0" applyNumberFormat="1" applyAlignment="1" applyProtection="1">
      <alignment vertical="center"/>
      <protection locked="0"/>
    </xf>
    <xf numFmtId="0" fontId="6" fillId="17" borderId="1" xfId="0" applyFont="1" applyFill="1" applyBorder="1" applyAlignment="1" applyProtection="1">
      <alignment horizontal="center" vertical="center"/>
      <protection locked="0"/>
    </xf>
    <xf numFmtId="0" fontId="0" fillId="3" borderId="1" xfId="0" applyFill="1" applyBorder="1" applyAlignment="1" applyProtection="1">
      <alignment vertical="center" wrapText="1"/>
      <protection locked="0"/>
    </xf>
    <xf numFmtId="0" fontId="0" fillId="0" borderId="5" xfId="0" applyBorder="1" applyAlignment="1" applyProtection="1">
      <alignment horizontal="left" vertical="center"/>
      <protection locked="0"/>
    </xf>
    <xf numFmtId="0" fontId="2" fillId="6" borderId="1" xfId="0" applyFont="1" applyFill="1" applyBorder="1" applyAlignment="1" applyProtection="1">
      <alignment vertical="center"/>
      <protection locked="0"/>
    </xf>
    <xf numFmtId="0" fontId="0" fillId="5" borderId="1" xfId="0" applyFill="1" applyBorder="1" applyAlignment="1" applyProtection="1">
      <alignment vertical="center"/>
      <protection locked="0"/>
    </xf>
    <xf numFmtId="166" fontId="3" fillId="5" borderId="1" xfId="0" applyNumberFormat="1" applyFont="1" applyFill="1" applyBorder="1" applyAlignment="1">
      <alignment horizontal="left" vertical="center"/>
    </xf>
    <xf numFmtId="0" fontId="0" fillId="3" borderId="1" xfId="0"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170" fontId="0" fillId="0" borderId="0" xfId="0" applyNumberFormat="1" applyAlignment="1">
      <alignment horizontal="center" vertical="center" wrapText="1"/>
    </xf>
    <xf numFmtId="2" fontId="0" fillId="0" borderId="0" xfId="0" applyNumberFormat="1" applyAlignment="1" applyProtection="1">
      <alignment horizontal="center" vertical="center"/>
      <protection locked="0"/>
    </xf>
    <xf numFmtId="170" fontId="0" fillId="0" borderId="0" xfId="0" applyNumberFormat="1" applyAlignment="1">
      <alignment horizontal="center" vertical="center"/>
    </xf>
    <xf numFmtId="0" fontId="0" fillId="0" borderId="0" xfId="0" applyAlignment="1" applyProtection="1">
      <alignment vertical="center" wrapText="1"/>
      <protection locked="0"/>
    </xf>
    <xf numFmtId="0" fontId="0" fillId="18" borderId="1" xfId="0" applyFill="1" applyBorder="1" applyAlignment="1" applyProtection="1">
      <alignment horizontal="left" vertical="center" wrapText="1"/>
      <protection locked="0"/>
    </xf>
    <xf numFmtId="3" fontId="0" fillId="18" borderId="1" xfId="0" applyNumberFormat="1" applyFill="1" applyBorder="1" applyAlignment="1" applyProtection="1">
      <alignment horizontal="left" vertical="center"/>
      <protection locked="0"/>
    </xf>
    <xf numFmtId="0" fontId="0" fillId="18" borderId="1" xfId="0" applyFill="1" applyBorder="1" applyAlignment="1" applyProtection="1">
      <alignment horizontal="left" vertical="center"/>
      <protection locked="0"/>
    </xf>
    <xf numFmtId="0" fontId="0" fillId="18" borderId="1" xfId="0" applyFill="1" applyBorder="1" applyAlignment="1" applyProtection="1">
      <alignment vertical="center" wrapText="1"/>
      <protection locked="0"/>
    </xf>
    <xf numFmtId="9" fontId="0" fillId="0" borderId="0" xfId="0" applyNumberFormat="1" applyAlignment="1">
      <alignment horizontal="left" vertical="center"/>
    </xf>
    <xf numFmtId="0" fontId="2" fillId="17" borderId="1" xfId="0" applyFont="1" applyFill="1" applyBorder="1" applyAlignment="1" applyProtection="1">
      <alignment vertical="center" wrapText="1"/>
      <protection locked="0"/>
    </xf>
    <xf numFmtId="0" fontId="2" fillId="10" borderId="1" xfId="0" applyFont="1" applyFill="1" applyBorder="1" applyAlignment="1">
      <alignment horizontal="left" vertical="center"/>
    </xf>
    <xf numFmtId="0" fontId="0" fillId="10" borderId="0" xfId="0" applyFill="1" applyAlignment="1">
      <alignment vertical="center"/>
    </xf>
    <xf numFmtId="0" fontId="0" fillId="0" borderId="0" xfId="0" applyAlignment="1">
      <alignment vertical="center"/>
    </xf>
    <xf numFmtId="0" fontId="6" fillId="10" borderId="1" xfId="0" applyFont="1" applyFill="1" applyBorder="1" applyAlignment="1">
      <alignment horizontal="center" vertical="center"/>
    </xf>
    <xf numFmtId="0" fontId="2" fillId="10" borderId="1" xfId="0" applyFont="1" applyFill="1" applyBorder="1" applyAlignment="1">
      <alignment horizontal="center" vertical="center"/>
    </xf>
    <xf numFmtId="10" fontId="2" fillId="10" borderId="1" xfId="3" applyNumberFormat="1" applyFont="1" applyFill="1" applyBorder="1" applyAlignment="1">
      <alignment horizontal="center" vertical="center"/>
    </xf>
    <xf numFmtId="2" fontId="2" fillId="10" borderId="1" xfId="0" applyNumberFormat="1" applyFont="1" applyFill="1" applyBorder="1" applyAlignment="1">
      <alignment horizontal="center" vertical="center"/>
    </xf>
    <xf numFmtId="0" fontId="2" fillId="10" borderId="1" xfId="0" applyFont="1" applyFill="1" applyBorder="1" applyAlignment="1">
      <alignment horizontal="center" vertical="center" wrapText="1"/>
    </xf>
    <xf numFmtId="0" fontId="0" fillId="11" borderId="1" xfId="0" applyFill="1" applyBorder="1" applyAlignment="1">
      <alignment vertical="center"/>
    </xf>
    <xf numFmtId="0" fontId="0" fillId="11" borderId="1" xfId="0" applyFill="1" applyBorder="1" applyAlignment="1">
      <alignment vertical="center" wrapText="1"/>
    </xf>
    <xf numFmtId="3" fontId="0" fillId="11" borderId="1" xfId="0" applyNumberFormat="1" applyFill="1" applyBorder="1" applyAlignment="1">
      <alignment vertical="center"/>
    </xf>
    <xf numFmtId="0" fontId="0" fillId="8" borderId="1" xfId="0" applyFill="1" applyBorder="1" applyAlignment="1">
      <alignment horizontal="center" vertical="center"/>
    </xf>
    <xf numFmtId="10" fontId="0" fillId="14" borderId="1" xfId="3" applyNumberFormat="1" applyFont="1" applyFill="1" applyBorder="1" applyAlignment="1">
      <alignment horizontal="center" vertical="center"/>
    </xf>
    <xf numFmtId="2" fontId="0" fillId="14" borderId="1" xfId="0" applyNumberFormat="1" applyFill="1" applyBorder="1" applyAlignment="1">
      <alignment horizontal="center" vertical="center"/>
    </xf>
    <xf numFmtId="0" fontId="0" fillId="14" borderId="1" xfId="0" applyFill="1" applyBorder="1" applyAlignment="1">
      <alignment horizontal="center" vertical="center"/>
    </xf>
    <xf numFmtId="3" fontId="0" fillId="8" borderId="1" xfId="0" applyNumberFormat="1" applyFill="1" applyBorder="1" applyAlignment="1">
      <alignment horizontal="center" vertical="center"/>
    </xf>
    <xf numFmtId="3" fontId="0" fillId="14" borderId="1" xfId="0" applyNumberFormat="1" applyFill="1" applyBorder="1" applyAlignment="1" applyProtection="1">
      <alignment horizontal="center" vertical="center"/>
      <protection locked="0"/>
    </xf>
    <xf numFmtId="3" fontId="0" fillId="14" borderId="1" xfId="0" applyNumberFormat="1" applyFill="1" applyBorder="1" applyAlignment="1">
      <alignment horizontal="center" vertical="center"/>
    </xf>
    <xf numFmtId="165" fontId="0" fillId="14" borderId="1" xfId="0" applyNumberFormat="1" applyFill="1" applyBorder="1" applyAlignment="1">
      <alignment horizontal="center" vertical="center"/>
    </xf>
    <xf numFmtId="165" fontId="0" fillId="14" borderId="1" xfId="2" applyNumberFormat="1" applyFont="1" applyFill="1" applyBorder="1" applyAlignment="1">
      <alignment horizontal="center" vertical="center"/>
    </xf>
    <xf numFmtId="165" fontId="0" fillId="15" borderId="1" xfId="0" applyNumberFormat="1" applyFill="1" applyBorder="1" applyAlignment="1">
      <alignment horizontal="center" vertical="center"/>
    </xf>
    <xf numFmtId="10" fontId="0" fillId="11" borderId="1" xfId="3" applyNumberFormat="1" applyFont="1" applyFill="1" applyBorder="1" applyAlignment="1">
      <alignment vertical="center"/>
    </xf>
    <xf numFmtId="0" fontId="0" fillId="12" borderId="4" xfId="0" applyFill="1" applyBorder="1" applyAlignment="1">
      <alignment vertical="center"/>
    </xf>
    <xf numFmtId="0" fontId="0" fillId="9" borderId="1" xfId="0" applyFill="1" applyBorder="1" applyAlignment="1">
      <alignment horizontal="center" vertical="center"/>
    </xf>
    <xf numFmtId="2" fontId="0" fillId="14" borderId="1" xfId="3" applyNumberFormat="1" applyFont="1" applyFill="1" applyBorder="1" applyAlignment="1">
      <alignment horizontal="center" vertical="center"/>
    </xf>
    <xf numFmtId="0" fontId="0" fillId="14" borderId="1" xfId="3" applyNumberFormat="1" applyFont="1" applyFill="1" applyBorder="1" applyAlignment="1">
      <alignment horizontal="center" vertical="center"/>
    </xf>
    <xf numFmtId="3" fontId="0" fillId="9" borderId="1" xfId="0" applyNumberFormat="1" applyFill="1" applyBorder="1" applyAlignment="1">
      <alignment horizontal="center" vertical="center"/>
    </xf>
    <xf numFmtId="165" fontId="0" fillId="11" borderId="1" xfId="0" applyNumberFormat="1" applyFill="1" applyBorder="1" applyAlignment="1">
      <alignment vertical="center"/>
    </xf>
    <xf numFmtId="169" fontId="0" fillId="11" borderId="1" xfId="3" applyNumberFormat="1" applyFont="1" applyFill="1" applyBorder="1" applyAlignment="1">
      <alignment vertical="center"/>
    </xf>
    <xf numFmtId="8" fontId="0" fillId="0" borderId="0" xfId="0" applyNumberFormat="1" applyAlignment="1">
      <alignment vertical="center"/>
    </xf>
    <xf numFmtId="10" fontId="0" fillId="0" borderId="0" xfId="3" applyNumberFormat="1" applyFont="1" applyFill="1" applyBorder="1" applyAlignment="1">
      <alignment vertical="center"/>
    </xf>
    <xf numFmtId="9" fontId="0" fillId="11" borderId="1" xfId="0" applyNumberFormat="1" applyFill="1" applyBorder="1" applyAlignment="1">
      <alignment vertical="center"/>
    </xf>
    <xf numFmtId="0" fontId="0" fillId="0" borderId="1" xfId="0" applyBorder="1" applyAlignment="1">
      <alignment vertical="center"/>
    </xf>
    <xf numFmtId="10" fontId="0" fillId="0" borderId="1" xfId="3" applyNumberFormat="1" applyFont="1" applyBorder="1" applyAlignment="1">
      <alignment vertical="center"/>
    </xf>
    <xf numFmtId="2" fontId="0" fillId="0" borderId="1" xfId="0" applyNumberFormat="1" applyBorder="1" applyAlignment="1">
      <alignment vertical="center"/>
    </xf>
    <xf numFmtId="165" fontId="0" fillId="0" borderId="1" xfId="2" applyNumberFormat="1" applyFont="1" applyFill="1" applyBorder="1" applyAlignment="1">
      <alignment horizontal="center" vertical="center"/>
    </xf>
    <xf numFmtId="10" fontId="0" fillId="0" borderId="0" xfId="3" applyNumberFormat="1" applyFont="1" applyAlignment="1">
      <alignment vertical="center"/>
    </xf>
    <xf numFmtId="2" fontId="0" fillId="0" borderId="0" xfId="0" applyNumberFormat="1" applyAlignment="1">
      <alignment vertical="center"/>
    </xf>
    <xf numFmtId="9" fontId="0" fillId="0" borderId="1" xfId="0" applyNumberFormat="1" applyBorder="1" applyAlignment="1">
      <alignment horizontal="center"/>
    </xf>
    <xf numFmtId="0" fontId="3" fillId="0" borderId="0" xfId="0" applyFont="1" applyAlignment="1">
      <alignment horizontal="left" vertical="center" wrapText="1"/>
    </xf>
    <xf numFmtId="3" fontId="0" fillId="0" borderId="0" xfId="0" applyNumberFormat="1"/>
    <xf numFmtId="0" fontId="10" fillId="0" borderId="1" xfId="0" applyFont="1" applyBorder="1" applyAlignment="1">
      <alignment vertical="top" wrapText="1"/>
    </xf>
    <xf numFmtId="0" fontId="12" fillId="0" borderId="1" xfId="0" applyFont="1" applyBorder="1" applyAlignment="1">
      <alignment vertical="top" wrapText="1"/>
    </xf>
    <xf numFmtId="10" fontId="0" fillId="0" borderId="1" xfId="0" applyNumberFormat="1" applyBorder="1" applyAlignment="1">
      <alignment horizontal="center"/>
    </xf>
    <xf numFmtId="0" fontId="3" fillId="14" borderId="1" xfId="0" applyFont="1" applyFill="1" applyBorder="1"/>
    <xf numFmtId="10" fontId="0" fillId="0" borderId="1" xfId="0" applyNumberFormat="1" applyBorder="1"/>
    <xf numFmtId="10" fontId="0" fillId="0" borderId="0" xfId="0" applyNumberFormat="1" applyAlignment="1">
      <alignment horizontal="center"/>
    </xf>
    <xf numFmtId="10" fontId="0" fillId="0" borderId="0" xfId="0" applyNumberFormat="1"/>
    <xf numFmtId="0" fontId="0" fillId="0" borderId="1" xfId="0" applyBorder="1" applyAlignment="1">
      <alignment wrapText="1"/>
    </xf>
    <xf numFmtId="3"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3" borderId="2" xfId="0" applyFill="1" applyBorder="1" applyAlignment="1" applyProtection="1">
      <alignment vertical="center"/>
      <protection locked="0"/>
    </xf>
    <xf numFmtId="3" fontId="0" fillId="3" borderId="3" xfId="0" applyNumberFormat="1" applyFill="1" applyBorder="1" applyAlignment="1" applyProtection="1">
      <alignment horizontal="left" vertical="center"/>
      <protection locked="0"/>
    </xf>
    <xf numFmtId="44" fontId="0" fillId="20" borderId="0" xfId="0" applyNumberFormat="1" applyFill="1"/>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4"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3" fillId="10" borderId="2"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10" borderId="2" xfId="0" applyFont="1" applyFill="1" applyBorder="1" applyAlignment="1">
      <alignment horizontal="left" vertical="center" wrapText="1"/>
    </xf>
    <xf numFmtId="0" fontId="13" fillId="10" borderId="3" xfId="0" applyFont="1" applyFill="1" applyBorder="1" applyAlignment="1">
      <alignment horizontal="left" vertical="center" wrapText="1"/>
    </xf>
    <xf numFmtId="0" fontId="0" fillId="0" borderId="0" xfId="0" applyAlignment="1">
      <alignment horizontal="left"/>
    </xf>
    <xf numFmtId="0" fontId="3" fillId="14" borderId="1" xfId="0" applyFont="1" applyFill="1" applyBorder="1" applyAlignment="1">
      <alignment horizontal="center"/>
    </xf>
    <xf numFmtId="0" fontId="2" fillId="19" borderId="5" xfId="0" applyFont="1" applyFill="1" applyBorder="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6" fillId="0" borderId="0" xfId="0" applyFont="1" applyAlignment="1">
      <alignment horizontal="right"/>
    </xf>
    <xf numFmtId="0" fontId="0" fillId="0" borderId="0" xfId="0" applyAlignment="1">
      <alignment horizontal="center"/>
    </xf>
    <xf numFmtId="0" fontId="0" fillId="0" borderId="0" xfId="0" applyAlignment="1">
      <alignment wrapText="1"/>
    </xf>
    <xf numFmtId="0" fontId="3" fillId="0" borderId="0" xfId="0" applyFont="1" applyAlignment="1">
      <alignment wrapText="1"/>
    </xf>
    <xf numFmtId="3" fontId="0" fillId="21" borderId="1" xfId="0" applyNumberFormat="1" applyFill="1" applyBorder="1"/>
    <xf numFmtId="3" fontId="3" fillId="21" borderId="1" xfId="0" applyNumberFormat="1" applyFont="1" applyFill="1" applyBorder="1"/>
    <xf numFmtId="169" fontId="0" fillId="21" borderId="7" xfId="0" applyNumberFormat="1" applyFill="1" applyBorder="1"/>
    <xf numFmtId="169" fontId="3" fillId="21" borderId="7" xfId="0" applyNumberFormat="1" applyFont="1" applyFill="1" applyBorder="1"/>
    <xf numFmtId="169" fontId="0" fillId="0" borderId="0" xfId="0" applyNumberFormat="1" applyProtection="1">
      <protection locked="0"/>
    </xf>
    <xf numFmtId="165" fontId="0" fillId="0" borderId="0" xfId="0" applyNumberFormat="1" applyAlignment="1">
      <alignment vertic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 dropStyle="combo" dx="16" fmlaLink="$B$6" fmlaRange="$A$52:$A$53" noThreeD="1" sel="1" val="0"/>
</file>

<file path=xl/ctrlProps/ctrlProp2.xml><?xml version="1.0" encoding="utf-8"?>
<formControlPr xmlns="http://schemas.microsoft.com/office/spreadsheetml/2009/9/main" objectType="Drop" dropLines="2" dropStyle="combo" dx="16" fmlaLink="$B$6" fmlaRange="$A$54:$A$55" noThreeD="1" sel="2" val="0"/>
</file>

<file path=xl/drawings/_rels/drawing4.xml.rels><?xml version="1.0" encoding="UTF-8" standalone="yes"?>
<Relationships xmlns="http://schemas.openxmlformats.org/package/2006/relationships"><Relationship Id="rId2" Type="http://schemas.openxmlformats.org/officeDocument/2006/relationships/hyperlink" Target="https://www.transportation.gov/sites/dot.gov/files/2021-02/Benefit%20Cost%20Analysis%20Guidance%202021.pdf" TargetMode="External"/><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0</xdr:row>
      <xdr:rowOff>190499</xdr:rowOff>
    </xdr:from>
    <xdr:to>
      <xdr:col>13</xdr:col>
      <xdr:colOff>366346</xdr:colOff>
      <xdr:row>50</xdr:row>
      <xdr:rowOff>29308</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499"/>
          <a:ext cx="11627828" cy="9363809"/>
        </a:xfrm>
        <a:prstGeom prst="rect">
          <a:avLst/>
        </a:prstGeom>
        <a:solidFill>
          <a:schemeClr val="bg1">
            <a:lumMod val="95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u="sng">
              <a:solidFill>
                <a:schemeClr val="dk1"/>
              </a:solidFill>
              <a:effectLst/>
              <a:latin typeface="+mn-lt"/>
              <a:ea typeface="+mn-ea"/>
              <a:cs typeface="+mn-cs"/>
            </a:rPr>
            <a:t>Instructions Tab</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the "Inputs &amp; Outputs" tab, fill in all "blue and green" shaded sections (Project Information, Daily Travel Interruptions, Proposed Improvement Information, and Daily Travel Demand). Sponsors may request assistance from HGAC to fill in the Daily Travel Demand information. </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Project Information</a:t>
          </a:r>
          <a:r>
            <a:rPr lang="en-US"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Project Title (C5): </a:t>
          </a:r>
          <a:r>
            <a:rPr lang="en-US" sz="1100">
              <a:solidFill>
                <a:schemeClr val="dk1"/>
              </a:solidFill>
              <a:effectLst/>
              <a:latin typeface="+mn-lt"/>
              <a:ea typeface="+mn-ea"/>
              <a:cs typeface="+mn-cs"/>
            </a:rPr>
            <a:t>Enter the proposed project name/title in cell C5.</a:t>
          </a:r>
        </a:p>
        <a:p>
          <a:r>
            <a:rPr lang="en-US" sz="1100" i="1">
              <a:solidFill>
                <a:schemeClr val="dk1"/>
              </a:solidFill>
              <a:effectLst/>
              <a:latin typeface="+mn-lt"/>
              <a:ea typeface="+mn-ea"/>
              <a:cs typeface="+mn-cs"/>
            </a:rPr>
            <a:t>	County (C6):</a:t>
          </a:r>
          <a:r>
            <a:rPr lang="en-US" sz="1100">
              <a:solidFill>
                <a:schemeClr val="dk1"/>
              </a:solidFill>
              <a:effectLst/>
              <a:latin typeface="+mn-lt"/>
              <a:ea typeface="+mn-ea"/>
              <a:cs typeface="+mn-cs"/>
            </a:rPr>
            <a:t> Select county name from the drop-down list in cell C6.  If the proposed roadway project is in more than one county, then select the county that contains majority of the 	project area.</a:t>
          </a:r>
        </a:p>
        <a:p>
          <a:r>
            <a:rPr lang="en-US" sz="1100" i="1">
              <a:solidFill>
                <a:schemeClr val="dk1"/>
              </a:solidFill>
              <a:effectLst/>
              <a:latin typeface="+mn-lt"/>
              <a:ea typeface="+mn-ea"/>
              <a:cs typeface="+mn-cs"/>
            </a:rPr>
            <a:t>	Facility Type (C7):</a:t>
          </a:r>
          <a:r>
            <a:rPr lang="en-US" sz="1100">
              <a:solidFill>
                <a:schemeClr val="dk1"/>
              </a:solidFill>
              <a:effectLst/>
              <a:latin typeface="+mn-lt"/>
              <a:ea typeface="+mn-ea"/>
              <a:cs typeface="+mn-cs"/>
            </a:rPr>
            <a:t> Select the facility type of the proposed project from the drop-down list in cell C7.</a:t>
          </a:r>
        </a:p>
        <a:p>
          <a:r>
            <a:rPr lang="en-US" sz="1100" i="1">
              <a:solidFill>
                <a:schemeClr val="dk1"/>
              </a:solidFill>
              <a:effectLst/>
              <a:latin typeface="+mn-lt"/>
              <a:ea typeface="+mn-ea"/>
              <a:cs typeface="+mn-cs"/>
            </a:rPr>
            <a:t>	Federal Functional Class (C8): </a:t>
          </a:r>
          <a:r>
            <a:rPr lang="en-US" sz="1100">
              <a:solidFill>
                <a:schemeClr val="dk1"/>
              </a:solidFill>
              <a:effectLst/>
              <a:latin typeface="+mn-lt"/>
              <a:ea typeface="+mn-ea"/>
              <a:cs typeface="+mn-cs"/>
            </a:rPr>
            <a:t>Select the federal functional class of the roadway on which the proposed project will be implemented from the drop-down list in cell C8.</a:t>
          </a:r>
        </a:p>
        <a:p>
          <a:r>
            <a:rPr lang="en-US" sz="1100" i="1">
              <a:solidFill>
                <a:schemeClr val="dk1"/>
              </a:solidFill>
              <a:effectLst/>
              <a:latin typeface="+mn-lt"/>
              <a:ea typeface="+mn-ea"/>
              <a:cs typeface="+mn-cs"/>
            </a:rPr>
            <a:t>	Street Name (C9):</a:t>
          </a:r>
          <a:r>
            <a:rPr lang="en-US" sz="1100">
              <a:solidFill>
                <a:schemeClr val="dk1"/>
              </a:solidFill>
              <a:effectLst/>
              <a:latin typeface="+mn-lt"/>
              <a:ea typeface="+mn-ea"/>
              <a:cs typeface="+mn-cs"/>
            </a:rPr>
            <a:t> Enter name of the facility on which proposed project/improvement is located. If the facility is called by multiple names, please provide all names. For Active 	Transportation projects please provide location of the proposed project.</a:t>
          </a:r>
        </a:p>
        <a:p>
          <a:r>
            <a:rPr lang="en-US" sz="1100" i="1">
              <a:solidFill>
                <a:schemeClr val="dk1"/>
              </a:solidFill>
              <a:effectLst/>
              <a:latin typeface="+mn-lt"/>
              <a:ea typeface="+mn-ea"/>
              <a:cs typeface="+mn-cs"/>
            </a:rPr>
            <a:t>	Limits (C10 &amp; C11):</a:t>
          </a:r>
          <a:r>
            <a:rPr lang="en-US" sz="1100">
              <a:solidFill>
                <a:schemeClr val="dk1"/>
              </a:solidFill>
              <a:effectLst/>
              <a:latin typeface="+mn-lt"/>
              <a:ea typeface="+mn-ea"/>
              <a:cs typeface="+mn-cs"/>
            </a:rPr>
            <a:t> Enter name limits (from and to) in cells C10 &amp; C11.</a:t>
          </a:r>
        </a:p>
        <a:p>
          <a:r>
            <a:rPr lang="en-US" sz="1100" i="1">
              <a:solidFill>
                <a:schemeClr val="dk1"/>
              </a:solidFill>
              <a:effectLst/>
              <a:latin typeface="+mn-lt"/>
              <a:ea typeface="+mn-ea"/>
              <a:cs typeface="+mn-cs"/>
            </a:rPr>
            <a:t>	Project Length (C12):</a:t>
          </a:r>
          <a:r>
            <a:rPr lang="en-US" sz="1100">
              <a:solidFill>
                <a:schemeClr val="dk1"/>
              </a:solidFill>
              <a:effectLst/>
              <a:latin typeface="+mn-lt"/>
              <a:ea typeface="+mn-ea"/>
              <a:cs typeface="+mn-cs"/>
            </a:rPr>
            <a:t> Enter project length in miles.  For point location-based projects such as intersection improvements, interchange construction/reversable, highway or railroad grade 	separation projects please use the distance up to next intersection (on either side of the proposed project intersection) or 0.25 miles whichever is lesser in length. For transit 	stations/stops, P&amp;R garages, and multimodal transit centers enter average one way trip length of the local bus, light rail, P&amp;R route.</a:t>
          </a:r>
        </a:p>
        <a:p>
          <a:r>
            <a:rPr lang="en-US" sz="1100" i="1">
              <a:solidFill>
                <a:schemeClr val="dk1"/>
              </a:solidFill>
              <a:effectLst/>
              <a:latin typeface="+mn-lt"/>
              <a:ea typeface="+mn-ea"/>
              <a:cs typeface="+mn-cs"/>
            </a:rPr>
            <a:t>	Application Id Number (C13):</a:t>
          </a:r>
          <a:r>
            <a:rPr lang="en-US" sz="1100">
              <a:solidFill>
                <a:schemeClr val="dk1"/>
              </a:solidFill>
              <a:effectLst/>
              <a:latin typeface="+mn-lt"/>
              <a:ea typeface="+mn-ea"/>
              <a:cs typeface="+mn-cs"/>
            </a:rPr>
            <a:t> Please provide online project application Id Number.</a:t>
          </a:r>
        </a:p>
        <a:p>
          <a:r>
            <a:rPr lang="en-US" sz="1100" i="1">
              <a:solidFill>
                <a:schemeClr val="dk1"/>
              </a:solidFill>
              <a:effectLst/>
              <a:latin typeface="+mn-lt"/>
              <a:ea typeface="+mn-ea"/>
              <a:cs typeface="+mn-cs"/>
            </a:rPr>
            <a:t>	CSJ Number/MPOID Number (C14):</a:t>
          </a:r>
          <a:r>
            <a:rPr lang="en-US" sz="1100">
              <a:solidFill>
                <a:schemeClr val="dk1"/>
              </a:solidFill>
              <a:effectLst/>
              <a:latin typeface="+mn-lt"/>
              <a:ea typeface="+mn-ea"/>
              <a:cs typeface="+mn-cs"/>
            </a:rPr>
            <a:t> If the proposed project is listed in 2045 RTP or any previous RTPs please provide the MPOID number and CSJ number (if it exists).</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Proposed Improvement Information:</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Year Open to Traffic Must be &gt;=2025 (C18):</a:t>
          </a:r>
          <a:r>
            <a:rPr lang="en-US" sz="1100">
              <a:solidFill>
                <a:schemeClr val="dk1"/>
              </a:solidFill>
              <a:effectLst/>
              <a:latin typeface="+mn-lt"/>
              <a:ea typeface="+mn-ea"/>
              <a:cs typeface="+mn-cs"/>
            </a:rPr>
            <a:t> Select the year Open to Traffic from the drop-down list in cell C18.</a:t>
          </a:r>
        </a:p>
        <a:p>
          <a:r>
            <a:rPr lang="en-US" sz="1100" i="1">
              <a:solidFill>
                <a:schemeClr val="dk1"/>
              </a:solidFill>
              <a:effectLst/>
              <a:latin typeface="+mn-lt"/>
              <a:ea typeface="+mn-ea"/>
              <a:cs typeface="+mn-cs"/>
            </a:rPr>
            <a:t>	Type of Improvement (C19) and Service Life (Years) (C21):</a:t>
          </a:r>
          <a:r>
            <a:rPr lang="en-US" sz="1100">
              <a:solidFill>
                <a:schemeClr val="dk1"/>
              </a:solidFill>
              <a:effectLst/>
              <a:latin typeface="+mn-lt"/>
              <a:ea typeface="+mn-ea"/>
              <a:cs typeface="+mn-cs"/>
            </a:rPr>
            <a:t> Type of improvement and service life of the project are prepopulated.</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Daily Traffic Interruptions:</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Average Daily Minutes Traffic is Stopped at-Grade Railroad Crossing: </a:t>
          </a:r>
          <a:r>
            <a:rPr lang="en-US" sz="1100">
              <a:solidFill>
                <a:schemeClr val="dk1"/>
              </a:solidFill>
              <a:effectLst/>
              <a:latin typeface="+mn-lt"/>
              <a:ea typeface="+mn-ea"/>
              <a:cs typeface="+mn-cs"/>
            </a:rPr>
            <a:t>Enter the average time (in minutes) the traffic is stopped at existing at-grade railroad crossing. </a:t>
          </a:r>
        </a:p>
        <a:p>
          <a:r>
            <a:rPr lang="en-US" sz="1100">
              <a:solidFill>
                <a:schemeClr val="dk1"/>
              </a:solidFill>
              <a:effectLst/>
              <a:latin typeface="+mn-lt"/>
              <a:ea typeface="+mn-ea"/>
              <a:cs typeface="+mn-cs"/>
            </a:rPr>
            <a:t>		{= (# of times train passes through the existing at-grade railroad crossing location) *(Average time in mutes for trail to go through the grade crossing location)}</a:t>
          </a:r>
        </a:p>
        <a:p>
          <a:r>
            <a:rPr lang="en-US" sz="1100" i="1">
              <a:solidFill>
                <a:schemeClr val="dk1"/>
              </a:solidFill>
              <a:effectLst/>
              <a:latin typeface="+mn-lt"/>
              <a:ea typeface="+mn-ea"/>
              <a:cs typeface="+mn-cs"/>
            </a:rPr>
            <a:t>	Daily # of Vehicles Stopped at-Grade Railroad Crossing: </a:t>
          </a:r>
          <a:r>
            <a:rPr lang="en-US" sz="1100">
              <a:solidFill>
                <a:schemeClr val="dk1"/>
              </a:solidFill>
              <a:effectLst/>
              <a:latin typeface="+mn-lt"/>
              <a:ea typeface="+mn-ea"/>
              <a:cs typeface="+mn-cs"/>
            </a:rPr>
            <a:t>Enter daily total number of passenger vehicles stopped at existing at-grade railroad crossing location.</a:t>
          </a:r>
        </a:p>
        <a:p>
          <a:r>
            <a:rPr lang="en-US" sz="1100" i="1">
              <a:solidFill>
                <a:schemeClr val="dk1"/>
              </a:solidFill>
              <a:effectLst/>
              <a:latin typeface="+mn-lt"/>
              <a:ea typeface="+mn-ea"/>
              <a:cs typeface="+mn-cs"/>
            </a:rPr>
            <a:t>	Daily Traffic stopped at at-grade railroad crossing location in Year Open to Traffic</a:t>
          </a:r>
          <a:r>
            <a:rPr lang="en-US" sz="1100">
              <a:solidFill>
                <a:schemeClr val="dk1"/>
              </a:solidFill>
              <a:effectLst/>
              <a:latin typeface="+mn-lt"/>
              <a:ea typeface="+mn-ea"/>
              <a:cs typeface="+mn-cs"/>
            </a:rPr>
            <a:t>: Daily traffic stopped at the at-grade railroad crossing location in year open to traffic calculated based 	on growth rate calculated based on daily travel demand data in cells C30-C37.</a:t>
          </a:r>
        </a:p>
        <a:p>
          <a:endParaRPr lang="en-US" sz="1100" i="1">
            <a:solidFill>
              <a:schemeClr val="dk1"/>
            </a:solidFill>
            <a:effectLst/>
            <a:latin typeface="+mn-lt"/>
            <a:ea typeface="+mn-ea"/>
            <a:cs typeface="+mn-cs"/>
          </a:endParaRPr>
        </a:p>
        <a:p>
          <a:r>
            <a:rPr lang="en-US" sz="1100" i="1">
              <a:solidFill>
                <a:schemeClr val="dk1"/>
              </a:solidFill>
              <a:effectLst/>
              <a:latin typeface="+mn-lt"/>
              <a:ea typeface="+mn-ea"/>
              <a:cs typeface="+mn-cs"/>
            </a:rPr>
            <a:t>Daily Travel Demand:</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2021 Traffic Volume (AADT) (C30):</a:t>
          </a:r>
          <a:r>
            <a:rPr lang="en-US" sz="1100">
              <a:solidFill>
                <a:schemeClr val="dk1"/>
              </a:solidFill>
              <a:effectLst/>
              <a:latin typeface="+mn-lt"/>
              <a:ea typeface="+mn-ea"/>
              <a:cs typeface="+mn-cs"/>
            </a:rPr>
            <a:t> Sponsors may enter the AADT from latest traffic counts available form TxDOT’s traffic count data, or sponsors may choose to collect the traffic counts 	and enter collected traffic count data in cell C25.</a:t>
          </a:r>
        </a:p>
        <a:p>
          <a:r>
            <a:rPr lang="en-US" sz="1100" i="1">
              <a:solidFill>
                <a:schemeClr val="dk1"/>
              </a:solidFill>
              <a:effectLst/>
              <a:latin typeface="+mn-lt"/>
              <a:ea typeface="+mn-ea"/>
              <a:cs typeface="+mn-cs"/>
            </a:rPr>
            <a:t>	2021 Peak Period Traffic Volume (both directions) (C32):</a:t>
          </a:r>
          <a:r>
            <a:rPr lang="en-US" sz="1100">
              <a:solidFill>
                <a:schemeClr val="dk1"/>
              </a:solidFill>
              <a:effectLst/>
              <a:latin typeface="+mn-lt"/>
              <a:ea typeface="+mn-ea"/>
              <a:cs typeface="+mn-cs"/>
            </a:rPr>
            <a:t> Please enter 2021 peak period traffic volume data (6AM – 9AM + 3PM – 7PM) in cell C32.  2021 peak period volume data 	(regional model data) provided by H-GAC upon sponsor’s request. </a:t>
          </a:r>
        </a:p>
        <a:p>
          <a:r>
            <a:rPr lang="en-US" sz="1100" i="1">
              <a:solidFill>
                <a:schemeClr val="dk1"/>
              </a:solidFill>
              <a:effectLst/>
              <a:latin typeface="+mn-lt"/>
              <a:ea typeface="+mn-ea"/>
              <a:cs typeface="+mn-cs"/>
            </a:rPr>
            <a:t>	2021 Peak Period Roadway Capacity (all lanes) (C33):</a:t>
          </a:r>
          <a:r>
            <a:rPr lang="en-US" sz="1100">
              <a:solidFill>
                <a:schemeClr val="dk1"/>
              </a:solidFill>
              <a:effectLst/>
              <a:latin typeface="+mn-lt"/>
              <a:ea typeface="+mn-ea"/>
              <a:cs typeface="+mn-cs"/>
            </a:rPr>
            <a:t> Please enter peak period roadway capacity in cell C33.  2021 peak period volume data (regional model) provided by H-GAC upon 	sponsor’s request. </a:t>
          </a:r>
        </a:p>
        <a:p>
          <a:r>
            <a:rPr lang="en-US" sz="1100" i="1">
              <a:solidFill>
                <a:schemeClr val="dk1"/>
              </a:solidFill>
              <a:effectLst/>
              <a:latin typeface="+mn-lt"/>
              <a:ea typeface="+mn-ea"/>
              <a:cs typeface="+mn-cs"/>
            </a:rPr>
            <a:t>	Estimate 2030 Peak Period Traffic Volume (both directions) (C34):</a:t>
          </a:r>
          <a:r>
            <a:rPr lang="en-US" sz="1100">
              <a:solidFill>
                <a:schemeClr val="dk1"/>
              </a:solidFill>
              <a:effectLst/>
              <a:latin typeface="+mn-lt"/>
              <a:ea typeface="+mn-ea"/>
              <a:cs typeface="+mn-cs"/>
            </a:rPr>
            <a:t> Please enter estimated 2030 peak period traffic volume data (6AM – 9AM + 3PM – 7PM) in cell C34.  2030 peak period 	(regional model volume data) provided by H-GAC upon sponsor’s request. </a:t>
          </a:r>
        </a:p>
        <a:p>
          <a:r>
            <a:rPr lang="en-US" sz="1100" i="1">
              <a:solidFill>
                <a:schemeClr val="dk1"/>
              </a:solidFill>
              <a:effectLst/>
              <a:latin typeface="+mn-lt"/>
              <a:ea typeface="+mn-ea"/>
              <a:cs typeface="+mn-cs"/>
            </a:rPr>
            <a:t>	2030 Peak Period Roadway Capacity (all lanes) (C35):</a:t>
          </a:r>
          <a:r>
            <a:rPr lang="en-US" sz="1100">
              <a:solidFill>
                <a:schemeClr val="dk1"/>
              </a:solidFill>
              <a:effectLst/>
              <a:latin typeface="+mn-lt"/>
              <a:ea typeface="+mn-ea"/>
              <a:cs typeface="+mn-cs"/>
            </a:rPr>
            <a:t> Please enter peak period roadway capacity in cell C35.  2030 peak period roadway capacity data (regional model) provided by H-	GAC upon sponsor’s request. </a:t>
          </a:r>
        </a:p>
        <a:p>
          <a:r>
            <a:rPr lang="en-US" sz="1100" i="1">
              <a:solidFill>
                <a:schemeClr val="dk1"/>
              </a:solidFill>
              <a:effectLst/>
              <a:latin typeface="+mn-lt"/>
              <a:ea typeface="+mn-ea"/>
              <a:cs typeface="+mn-cs"/>
            </a:rPr>
            <a:t>	Estimated 2045 Peak Period Traffic Volume (both directions) (C36):</a:t>
          </a:r>
          <a:r>
            <a:rPr lang="en-US" sz="1100">
              <a:solidFill>
                <a:schemeClr val="dk1"/>
              </a:solidFill>
              <a:effectLst/>
              <a:latin typeface="+mn-lt"/>
              <a:ea typeface="+mn-ea"/>
              <a:cs typeface="+mn-cs"/>
            </a:rPr>
            <a:t> Please enter estimated 2045 peak period traffic volume data (6AM – 9AM + 3PM – 7PM) in cell C36.  2045 peak period 	(regional model volume data) provided by H-GAC upon sponsor’s request. </a:t>
          </a:r>
        </a:p>
        <a:p>
          <a:r>
            <a:rPr lang="en-US" sz="1100" i="1">
              <a:solidFill>
                <a:schemeClr val="dk1"/>
              </a:solidFill>
              <a:effectLst/>
              <a:latin typeface="+mn-lt"/>
              <a:ea typeface="+mn-ea"/>
              <a:cs typeface="+mn-cs"/>
            </a:rPr>
            <a:t>	2045 Peak Period Roadway Capacity (all lanes) (C37):</a:t>
          </a:r>
          <a:r>
            <a:rPr lang="en-US" sz="1100">
              <a:solidFill>
                <a:schemeClr val="dk1"/>
              </a:solidFill>
              <a:effectLst/>
              <a:latin typeface="+mn-lt"/>
              <a:ea typeface="+mn-ea"/>
              <a:cs typeface="+mn-cs"/>
            </a:rPr>
            <a:t> Please enter peak period roadway capacity in cell C37.  2045 peak period roadway capacity data (regional model) provided by H-	GAC upon sponsor’s request. </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Vehicle Hours of Delay Improvements in Year Open to Traffic:</a:t>
          </a:r>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	Without Project</a:t>
          </a:r>
          <a:r>
            <a:rPr lang="en-US" sz="1100">
              <a:solidFill>
                <a:schemeClr val="dk1"/>
              </a:solidFill>
              <a:effectLst/>
              <a:latin typeface="+mn-lt"/>
              <a:ea typeface="+mn-ea"/>
              <a:cs typeface="+mn-cs"/>
            </a:rPr>
            <a:t>: Average daily vehicle hours of delay in cell G25 is calculated based on daily traffic stopped at at-grade railroad crossing location in year open to traffic C26) and average 	daily minutes traffic is stooped at the at-grade crossing location (C24).</a:t>
          </a:r>
        </a:p>
        <a:p>
          <a:r>
            <a:rPr lang="en-US" sz="1100">
              <a:solidFill>
                <a:schemeClr val="dk1"/>
              </a:solidFill>
              <a:effectLst/>
              <a:latin typeface="+mn-lt"/>
              <a:ea typeface="+mn-ea"/>
              <a:cs typeface="+mn-cs"/>
            </a:rPr>
            <a:t>	VHT With Project: Average daily vehicle hours of delay at at-grade crossing location is prepopulated as 0. </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Results will be populated in "red" shaded section ("Benefit Results").</a:t>
          </a:r>
        </a:p>
        <a:p>
          <a:endParaRPr lang="en-US" sz="1100">
            <a:solidFill>
              <a:schemeClr val="dk1"/>
            </a:solidFill>
            <a:effectLst/>
            <a:latin typeface="+mn-lt"/>
            <a:ea typeface="+mn-ea"/>
            <a:cs typeface="+mn-cs"/>
          </a:endParaRPr>
        </a:p>
        <a:p>
          <a:r>
            <a:rPr lang="en-US" sz="1200">
              <a:solidFill>
                <a:sysClr val="windowText" lastClr="000000"/>
              </a:solidFill>
              <a:effectLst/>
              <a:latin typeface="+mn-lt"/>
              <a:ea typeface="+mn-ea"/>
              <a:cs typeface="+mn-cs"/>
            </a:rPr>
            <a:t> </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6350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6</xdr:row>
          <xdr:rowOff>6350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February 2021. The full resource guide is available online at: https://www.transportation.gov/sites/dot.gov/files/2021-02/Benefit%20Cost%20Analysis%20Guidance%202021.pdf.</a:t>
          </a:r>
          <a:r>
            <a:rPr lang="en-US" sz="1100" baseline="0">
              <a:solidFill>
                <a:schemeClr val="dk1"/>
              </a:solidFill>
              <a:effectLst/>
              <a:latin typeface="+mn-lt"/>
              <a:ea typeface="+mn-ea"/>
              <a:cs typeface="+mn-cs"/>
            </a:rPr>
            <a:t> </a:t>
          </a:r>
          <a:endParaRPr lang="en-US" sz="1050">
            <a:effectLst/>
          </a:endParaRPr>
        </a:p>
        <a:p>
          <a:r>
            <a:rPr lang="en-US" sz="1100">
              <a:effectLst/>
            </a:rPr>
            <a:t>Gain in wages is taken from</a:t>
          </a:r>
          <a:r>
            <a:rPr lang="en-US" sz="1100" baseline="0">
              <a:effectLst/>
            </a:rPr>
            <a:t> the news relase of Southwest Information Office of the  Bureau of Labor Statistics title "Changing Compensateion Costs in the Houston Metropolitan Area " released in December 2020.  the News release can be found at:  </a:t>
          </a:r>
          <a:r>
            <a:rPr lang="en-US" sz="1100" u="sng" baseline="0">
              <a:effectLst/>
            </a:rPr>
            <a:t>https://www.bls.gov/regions/southwest/news-release/employmentcostindex_houston.htm#:~:text=The%20annual%20increase%20in%20total,%2C%20Miami%2C%20and%20Washington).</a:t>
          </a:r>
          <a:endParaRPr lang="en-US" sz="1100" baseline="0">
            <a:effectLst/>
          </a:endParaRP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abSelected="1" topLeftCell="A37" zoomScale="130" zoomScaleNormal="130" workbookViewId="0">
      <selection activeCell="E54" sqref="E54"/>
    </sheetView>
  </sheetViews>
  <sheetFormatPr defaultRowHeight="14.5" x14ac:dyDescent="0.35"/>
  <cols>
    <col min="1" max="1" width="45.08984375" bestFit="1" customWidth="1"/>
    <col min="2" max="2" width="12.54296875" customWidth="1"/>
    <col min="3" max="3" width="5.36328125" customWidth="1"/>
    <col min="4" max="4" width="23.54296875" customWidth="1"/>
    <col min="5" max="5" width="15.36328125" bestFit="1" customWidth="1"/>
    <col min="6" max="6" width="13.36328125" customWidth="1"/>
    <col min="7" max="7" width="4.54296875" customWidth="1"/>
  </cols>
  <sheetData>
    <row r="7" spans="1:1" x14ac:dyDescent="0.35">
      <c r="A7" s="24"/>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selection activeCell="H1" sqref="H1:H1048576"/>
    </sheetView>
  </sheetViews>
  <sheetFormatPr defaultRowHeight="14.5" x14ac:dyDescent="0.35"/>
  <cols>
    <col min="1" max="1" width="38.90625" customWidth="1"/>
    <col min="2" max="2" width="12.54296875" customWidth="1"/>
    <col min="3" max="3" width="5.36328125" customWidth="1"/>
    <col min="4" max="4" width="33.54296875" bestFit="1" customWidth="1"/>
    <col min="5" max="5" width="13.36328125" customWidth="1"/>
    <col min="6" max="6" width="4.54296875" customWidth="1"/>
    <col min="8" max="8" width="2.08984375" hidden="1" customWidth="1"/>
    <col min="9" max="9" width="18.6328125" bestFit="1" customWidth="1"/>
    <col min="10" max="10" width="38.36328125" bestFit="1" customWidth="1"/>
  </cols>
  <sheetData>
    <row r="3" spans="1:10" x14ac:dyDescent="0.35">
      <c r="A3" s="7" t="s">
        <v>10</v>
      </c>
      <c r="D3" s="7" t="s">
        <v>30</v>
      </c>
      <c r="E3" s="8" t="s">
        <v>20</v>
      </c>
      <c r="G3" s="14" t="s">
        <v>24</v>
      </c>
      <c r="H3" s="14"/>
      <c r="I3" s="14" t="s">
        <v>31</v>
      </c>
      <c r="J3" s="14" t="s">
        <v>55</v>
      </c>
    </row>
    <row r="4" spans="1:10" x14ac:dyDescent="0.35">
      <c r="A4" s="5" t="s">
        <v>15</v>
      </c>
      <c r="B4" s="6"/>
      <c r="D4" s="5" t="s">
        <v>52</v>
      </c>
      <c r="E4" s="6">
        <v>2015</v>
      </c>
      <c r="G4" s="12">
        <f>E4</f>
        <v>2015</v>
      </c>
      <c r="H4" s="12">
        <f>IF(G4&lt;2041,1,0)</f>
        <v>1</v>
      </c>
      <c r="I4" s="21">
        <f>IF($G4&lt;($G$4+$E$5),$E$17,0)*H4</f>
        <v>0</v>
      </c>
      <c r="J4" s="29">
        <f>I4*$B$18*$B$19/10^3</f>
        <v>0</v>
      </c>
    </row>
    <row r="5" spans="1:10" x14ac:dyDescent="0.35">
      <c r="A5" s="5" t="s">
        <v>16</v>
      </c>
      <c r="B5" s="6"/>
      <c r="D5" s="5" t="s">
        <v>42</v>
      </c>
      <c r="E5" s="9">
        <v>10</v>
      </c>
      <c r="G5" s="13">
        <f t="shared" ref="G5:G29" si="0">G4+1</f>
        <v>2016</v>
      </c>
      <c r="H5" s="13">
        <f t="shared" ref="H5:H29" si="1">IF(G5&lt;2041,1,0)</f>
        <v>1</v>
      </c>
      <c r="I5" s="21">
        <f t="shared" ref="I5:I29" si="2">IF($G5&lt;($G$4+$E$5),$E$17,0)*H5</f>
        <v>0</v>
      </c>
      <c r="J5" s="36">
        <f t="shared" ref="J5:J24" si="3">I5*$B$18*$B$19/10^3</f>
        <v>0</v>
      </c>
    </row>
    <row r="6" spans="1:10" x14ac:dyDescent="0.35">
      <c r="A6" s="5" t="s">
        <v>17</v>
      </c>
      <c r="B6" s="6">
        <v>1</v>
      </c>
      <c r="D6" s="146" t="s">
        <v>40</v>
      </c>
      <c r="E6" s="147"/>
      <c r="G6" s="12">
        <f t="shared" si="0"/>
        <v>2017</v>
      </c>
      <c r="H6" s="12">
        <f t="shared" si="1"/>
        <v>1</v>
      </c>
      <c r="I6" s="21">
        <f t="shared" si="2"/>
        <v>0</v>
      </c>
      <c r="J6" s="29">
        <f t="shared" si="3"/>
        <v>0</v>
      </c>
    </row>
    <row r="7" spans="1:10" x14ac:dyDescent="0.35">
      <c r="A7" s="5" t="s">
        <v>53</v>
      </c>
      <c r="B7" s="22"/>
      <c r="D7" s="5" t="s">
        <v>50</v>
      </c>
      <c r="E7" s="9"/>
      <c r="G7" s="13">
        <f t="shared" si="0"/>
        <v>2018</v>
      </c>
      <c r="H7" s="13">
        <f t="shared" si="1"/>
        <v>1</v>
      </c>
      <c r="I7" s="21">
        <f t="shared" si="2"/>
        <v>0</v>
      </c>
      <c r="J7" s="36">
        <f t="shared" si="3"/>
        <v>0</v>
      </c>
    </row>
    <row r="8" spans="1:10" x14ac:dyDescent="0.35">
      <c r="A8" s="5" t="s">
        <v>54</v>
      </c>
      <c r="B8" s="22"/>
      <c r="D8" s="5" t="s">
        <v>48</v>
      </c>
      <c r="E8" s="39">
        <v>1.1499999999999999</v>
      </c>
      <c r="G8" s="12">
        <f t="shared" si="0"/>
        <v>2019</v>
      </c>
      <c r="H8" s="12">
        <f t="shared" si="1"/>
        <v>1</v>
      </c>
      <c r="I8" s="21">
        <f t="shared" si="2"/>
        <v>0</v>
      </c>
      <c r="J8" s="29">
        <f t="shared" si="3"/>
        <v>0</v>
      </c>
    </row>
    <row r="9" spans="1:10" x14ac:dyDescent="0.35">
      <c r="G9" s="13">
        <f t="shared" si="0"/>
        <v>2020</v>
      </c>
      <c r="H9" s="13">
        <f t="shared" si="1"/>
        <v>1</v>
      </c>
      <c r="I9" s="21">
        <f t="shared" si="2"/>
        <v>0</v>
      </c>
      <c r="J9" s="36">
        <f t="shared" si="3"/>
        <v>0</v>
      </c>
    </row>
    <row r="10" spans="1:10" x14ac:dyDescent="0.35">
      <c r="A10" s="11" t="s">
        <v>29</v>
      </c>
      <c r="G10" s="12">
        <f t="shared" si="0"/>
        <v>2021</v>
      </c>
      <c r="H10" s="12">
        <f t="shared" si="1"/>
        <v>1</v>
      </c>
      <c r="I10" s="21">
        <f t="shared" si="2"/>
        <v>0</v>
      </c>
      <c r="J10" s="29">
        <f t="shared" si="3"/>
        <v>0</v>
      </c>
    </row>
    <row r="11" spans="1:10" x14ac:dyDescent="0.35">
      <c r="A11" s="10" t="s">
        <v>51</v>
      </c>
      <c r="B11" s="37">
        <f>NPV($B$17,J4:J29)/(1+$B$17)^(E4-B16+1)</f>
        <v>0</v>
      </c>
      <c r="G11" s="13">
        <f t="shared" si="0"/>
        <v>2022</v>
      </c>
      <c r="H11" s="13">
        <f t="shared" si="1"/>
        <v>1</v>
      </c>
      <c r="I11" s="21">
        <f t="shared" si="2"/>
        <v>0</v>
      </c>
      <c r="J11" s="36">
        <f t="shared" si="3"/>
        <v>0</v>
      </c>
    </row>
    <row r="12" spans="1:10" x14ac:dyDescent="0.35">
      <c r="A12" s="10" t="s">
        <v>28</v>
      </c>
      <c r="B12" s="35" t="e">
        <f>B11/B7</f>
        <v>#DIV/0!</v>
      </c>
      <c r="G12" s="12">
        <f t="shared" si="0"/>
        <v>2023</v>
      </c>
      <c r="H12" s="12">
        <f t="shared" si="1"/>
        <v>1</v>
      </c>
      <c r="I12" s="21">
        <f t="shared" si="2"/>
        <v>0</v>
      </c>
      <c r="J12" s="29">
        <f t="shared" si="3"/>
        <v>0</v>
      </c>
    </row>
    <row r="13" spans="1:10" x14ac:dyDescent="0.35">
      <c r="G13" s="13">
        <f t="shared" si="0"/>
        <v>2024</v>
      </c>
      <c r="H13" s="13">
        <f t="shared" si="1"/>
        <v>1</v>
      </c>
      <c r="I13" s="21">
        <f t="shared" si="2"/>
        <v>0</v>
      </c>
      <c r="J13" s="36">
        <f t="shared" si="3"/>
        <v>0</v>
      </c>
    </row>
    <row r="14" spans="1:10" x14ac:dyDescent="0.35">
      <c r="G14" s="12">
        <f>G13+1</f>
        <v>2025</v>
      </c>
      <c r="H14" s="12">
        <f t="shared" si="1"/>
        <v>1</v>
      </c>
      <c r="I14" s="21">
        <f t="shared" si="2"/>
        <v>0</v>
      </c>
      <c r="J14" s="29">
        <f t="shared" si="3"/>
        <v>0</v>
      </c>
    </row>
    <row r="15" spans="1:10" x14ac:dyDescent="0.35">
      <c r="A15" s="15" t="s">
        <v>11</v>
      </c>
      <c r="G15" s="13">
        <f t="shared" si="0"/>
        <v>2026</v>
      </c>
      <c r="H15" s="13">
        <f t="shared" si="1"/>
        <v>1</v>
      </c>
      <c r="I15" s="21">
        <f t="shared" si="2"/>
        <v>0</v>
      </c>
      <c r="J15" s="36">
        <f t="shared" si="3"/>
        <v>0</v>
      </c>
    </row>
    <row r="16" spans="1:10" x14ac:dyDescent="0.35">
      <c r="A16" s="16" t="s">
        <v>12</v>
      </c>
      <c r="B16" s="16">
        <f>'Assumed Values'!C5</f>
        <v>2021</v>
      </c>
      <c r="D16" s="15" t="s">
        <v>26</v>
      </c>
      <c r="E16" s="23" t="s">
        <v>20</v>
      </c>
      <c r="G16" s="12">
        <f t="shared" si="0"/>
        <v>2027</v>
      </c>
      <c r="H16" s="12">
        <f t="shared" si="1"/>
        <v>1</v>
      </c>
      <c r="I16" s="21">
        <f t="shared" si="2"/>
        <v>0</v>
      </c>
      <c r="J16" s="29">
        <f t="shared" si="3"/>
        <v>0</v>
      </c>
    </row>
    <row r="17" spans="1:10" x14ac:dyDescent="0.35">
      <c r="A17" s="16" t="s">
        <v>13</v>
      </c>
      <c r="B17" s="17">
        <f>'Assumed Values'!C6</f>
        <v>7.0000000000000007E-2</v>
      </c>
      <c r="D17" s="19" t="s">
        <v>49</v>
      </c>
      <c r="E17" s="20">
        <f>E7/E8</f>
        <v>0</v>
      </c>
      <c r="G17" s="13">
        <f t="shared" si="0"/>
        <v>2028</v>
      </c>
      <c r="H17" s="13">
        <f t="shared" si="1"/>
        <v>1</v>
      </c>
      <c r="I17" s="21">
        <f t="shared" si="2"/>
        <v>0</v>
      </c>
      <c r="J17" s="36">
        <f t="shared" si="3"/>
        <v>0</v>
      </c>
    </row>
    <row r="18" spans="1:10" x14ac:dyDescent="0.35">
      <c r="A18" s="16" t="s">
        <v>14</v>
      </c>
      <c r="B18" s="16">
        <f>IF(B6=2,2.1, 1.1)</f>
        <v>1.1000000000000001</v>
      </c>
      <c r="G18" s="12">
        <f t="shared" si="0"/>
        <v>2029</v>
      </c>
      <c r="H18" s="12">
        <f t="shared" si="1"/>
        <v>1</v>
      </c>
      <c r="I18" s="21">
        <f t="shared" si="2"/>
        <v>0</v>
      </c>
      <c r="J18" s="29">
        <f t="shared" si="3"/>
        <v>0</v>
      </c>
    </row>
    <row r="19" spans="1:10" x14ac:dyDescent="0.35">
      <c r="A19" s="16" t="s">
        <v>18</v>
      </c>
      <c r="B19" s="18">
        <f>'Assumed Values'!C9</f>
        <v>32.675719999999998</v>
      </c>
      <c r="G19" s="13">
        <f t="shared" si="0"/>
        <v>2030</v>
      </c>
      <c r="H19" s="13">
        <f t="shared" si="1"/>
        <v>1</v>
      </c>
      <c r="I19" s="21">
        <f t="shared" si="2"/>
        <v>0</v>
      </c>
      <c r="J19" s="36">
        <f t="shared" si="3"/>
        <v>0</v>
      </c>
    </row>
    <row r="20" spans="1:10" x14ac:dyDescent="0.35">
      <c r="A20" s="16" t="s">
        <v>27</v>
      </c>
      <c r="B20" s="16">
        <v>260</v>
      </c>
      <c r="G20" s="12">
        <f t="shared" si="0"/>
        <v>2031</v>
      </c>
      <c r="H20" s="12">
        <f t="shared" si="1"/>
        <v>1</v>
      </c>
      <c r="I20" s="21">
        <f t="shared" si="2"/>
        <v>0</v>
      </c>
      <c r="J20" s="29">
        <f t="shared" si="3"/>
        <v>0</v>
      </c>
    </row>
    <row r="21" spans="1:10" x14ac:dyDescent="0.35">
      <c r="G21" s="13">
        <f t="shared" si="0"/>
        <v>2032</v>
      </c>
      <c r="H21" s="13">
        <f t="shared" si="1"/>
        <v>1</v>
      </c>
      <c r="I21" s="21">
        <f t="shared" si="2"/>
        <v>0</v>
      </c>
      <c r="J21" s="36">
        <f t="shared" si="3"/>
        <v>0</v>
      </c>
    </row>
    <row r="22" spans="1:10" x14ac:dyDescent="0.35">
      <c r="G22" s="12">
        <f t="shared" si="0"/>
        <v>2033</v>
      </c>
      <c r="H22" s="12">
        <f t="shared" si="1"/>
        <v>1</v>
      </c>
      <c r="I22" s="21">
        <f t="shared" si="2"/>
        <v>0</v>
      </c>
      <c r="J22" s="29">
        <f t="shared" si="3"/>
        <v>0</v>
      </c>
    </row>
    <row r="23" spans="1:10" x14ac:dyDescent="0.35">
      <c r="G23" s="13">
        <f t="shared" si="0"/>
        <v>2034</v>
      </c>
      <c r="H23" s="13">
        <f t="shared" si="1"/>
        <v>1</v>
      </c>
      <c r="I23" s="21">
        <f t="shared" si="2"/>
        <v>0</v>
      </c>
      <c r="J23" s="36">
        <f t="shared" si="3"/>
        <v>0</v>
      </c>
    </row>
    <row r="24" spans="1:10" x14ac:dyDescent="0.35">
      <c r="G24" s="12">
        <f t="shared" si="0"/>
        <v>2035</v>
      </c>
      <c r="H24" s="12">
        <f t="shared" si="1"/>
        <v>1</v>
      </c>
      <c r="I24" s="21">
        <f t="shared" si="2"/>
        <v>0</v>
      </c>
      <c r="J24" s="29">
        <f t="shared" si="3"/>
        <v>0</v>
      </c>
    </row>
    <row r="25" spans="1:10" x14ac:dyDescent="0.35">
      <c r="G25" s="13">
        <f t="shared" si="0"/>
        <v>2036</v>
      </c>
      <c r="H25" s="13">
        <f t="shared" si="1"/>
        <v>1</v>
      </c>
      <c r="I25" s="21">
        <f t="shared" si="2"/>
        <v>0</v>
      </c>
      <c r="J25" s="36">
        <f t="shared" ref="J25:J29" si="4">I25*$B$18*$B$19/10^3</f>
        <v>0</v>
      </c>
    </row>
    <row r="26" spans="1:10" x14ac:dyDescent="0.35">
      <c r="G26" s="12">
        <f t="shared" si="0"/>
        <v>2037</v>
      </c>
      <c r="H26" s="12">
        <f t="shared" si="1"/>
        <v>1</v>
      </c>
      <c r="I26" s="21">
        <f t="shared" si="2"/>
        <v>0</v>
      </c>
      <c r="J26" s="29">
        <f t="shared" si="4"/>
        <v>0</v>
      </c>
    </row>
    <row r="27" spans="1:10" x14ac:dyDescent="0.35">
      <c r="G27" s="13">
        <f t="shared" si="0"/>
        <v>2038</v>
      </c>
      <c r="H27" s="13">
        <f t="shared" si="1"/>
        <v>1</v>
      </c>
      <c r="I27" s="21">
        <f t="shared" si="2"/>
        <v>0</v>
      </c>
      <c r="J27" s="36">
        <f t="shared" si="4"/>
        <v>0</v>
      </c>
    </row>
    <row r="28" spans="1:10" x14ac:dyDescent="0.35">
      <c r="G28" s="12">
        <f t="shared" si="0"/>
        <v>2039</v>
      </c>
      <c r="H28" s="12">
        <f t="shared" si="1"/>
        <v>1</v>
      </c>
      <c r="I28" s="21">
        <f t="shared" si="2"/>
        <v>0</v>
      </c>
      <c r="J28" s="29">
        <f t="shared" si="4"/>
        <v>0</v>
      </c>
    </row>
    <row r="29" spans="1:10" x14ac:dyDescent="0.35">
      <c r="A29" s="24"/>
      <c r="G29" s="13">
        <f t="shared" si="0"/>
        <v>2040</v>
      </c>
      <c r="H29" s="13">
        <f t="shared" si="1"/>
        <v>1</v>
      </c>
      <c r="I29" s="21">
        <f t="shared" si="2"/>
        <v>0</v>
      </c>
      <c r="J29" s="36">
        <f t="shared" si="4"/>
        <v>0</v>
      </c>
    </row>
    <row r="51" spans="1:1" x14ac:dyDescent="0.35">
      <c r="A51" t="s">
        <v>21</v>
      </c>
    </row>
    <row r="52" spans="1:1" x14ac:dyDescent="0.35">
      <c r="A52" t="s">
        <v>23</v>
      </c>
    </row>
    <row r="53" spans="1:1" x14ac:dyDescent="0.35">
      <c r="A53" t="s">
        <v>22</v>
      </c>
    </row>
  </sheetData>
  <mergeCells count="1">
    <mergeCell ref="D6:E6"/>
  </mergeCells>
  <pageMargins left="0.25" right="0.25" top="0.75" bottom="0.75" header="0.3" footer="0.3"/>
  <pageSetup paperSize="1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1</xdr:col>
                    <xdr:colOff>0</xdr:colOff>
                    <xdr:row>5</xdr:row>
                    <xdr:rowOff>0</xdr:rowOff>
                  </from>
                  <to>
                    <xdr:col>2</xdr:col>
                    <xdr:colOff>0</xdr:colOff>
                    <xdr:row>6</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selection activeCell="H1" sqref="H1:H1048576"/>
    </sheetView>
  </sheetViews>
  <sheetFormatPr defaultRowHeight="14.5" x14ac:dyDescent="0.35"/>
  <cols>
    <col min="1" max="1" width="54.36328125" customWidth="1"/>
    <col min="2" max="2" width="12.54296875" customWidth="1"/>
    <col min="3" max="3" width="5.36328125" customWidth="1"/>
    <col min="4" max="4" width="37.453125" bestFit="1" customWidth="1"/>
    <col min="5" max="5" width="13.36328125" customWidth="1"/>
    <col min="6" max="6" width="4.54296875" customWidth="1"/>
    <col min="8" max="8" width="26.453125" bestFit="1" customWidth="1"/>
    <col min="9" max="9" width="34.54296875" bestFit="1" customWidth="1"/>
    <col min="10" max="10" width="24.08984375" bestFit="1" customWidth="1"/>
    <col min="11" max="11" width="33.453125" bestFit="1" customWidth="1"/>
  </cols>
  <sheetData>
    <row r="3" spans="1:11" x14ac:dyDescent="0.35">
      <c r="A3" s="7" t="s">
        <v>10</v>
      </c>
      <c r="D3" s="7" t="s">
        <v>38</v>
      </c>
      <c r="E3" s="8" t="s">
        <v>20</v>
      </c>
      <c r="G3" s="14" t="s">
        <v>24</v>
      </c>
      <c r="H3" s="14" t="s">
        <v>47</v>
      </c>
      <c r="I3" s="14" t="s">
        <v>58</v>
      </c>
      <c r="J3" s="14" t="s">
        <v>46</v>
      </c>
      <c r="K3" s="14" t="s">
        <v>59</v>
      </c>
    </row>
    <row r="4" spans="1:11" x14ac:dyDescent="0.35">
      <c r="A4" s="5" t="s">
        <v>15</v>
      </c>
      <c r="B4" s="6"/>
      <c r="D4" s="5" t="s">
        <v>52</v>
      </c>
      <c r="E4" s="6">
        <v>2015</v>
      </c>
      <c r="G4" s="12">
        <f>E4</f>
        <v>2015</v>
      </c>
      <c r="H4" s="32" t="e">
        <f t="shared" ref="H4:H24" si="0">IF($G4&lt;($G$4+$E$5),$E$17,0)</f>
        <v>#REF!</v>
      </c>
      <c r="I4" s="31" t="e">
        <f>H4*$B$20/10^3</f>
        <v>#REF!</v>
      </c>
      <c r="J4" s="32" t="e">
        <f t="shared" ref="J4:J24" si="1">IF($G4&lt;($G$4+$E$5),$E$18,0)</f>
        <v>#REF!</v>
      </c>
      <c r="K4" s="31" t="e">
        <f>J4*$B$21/10^3</f>
        <v>#REF!</v>
      </c>
    </row>
    <row r="5" spans="1:11" x14ac:dyDescent="0.35">
      <c r="A5" s="5" t="s">
        <v>16</v>
      </c>
      <c r="B5" s="6"/>
      <c r="D5" s="5" t="s">
        <v>42</v>
      </c>
      <c r="E5" s="9">
        <v>10</v>
      </c>
      <c r="G5" s="13">
        <f t="shared" ref="G5:G29" si="2">G4+1</f>
        <v>2016</v>
      </c>
      <c r="H5" s="32" t="e">
        <f t="shared" si="0"/>
        <v>#REF!</v>
      </c>
      <c r="I5" s="33" t="e">
        <f t="shared" ref="I5:I24" si="3">H5*$B$20/10^3</f>
        <v>#REF!</v>
      </c>
      <c r="J5" s="32" t="e">
        <f t="shared" si="1"/>
        <v>#REF!</v>
      </c>
      <c r="K5" s="33" t="e">
        <f t="shared" ref="K5:K24" si="4">J5*$B$21/10^3</f>
        <v>#REF!</v>
      </c>
    </row>
    <row r="6" spans="1:11" x14ac:dyDescent="0.35">
      <c r="A6" s="5" t="s">
        <v>43</v>
      </c>
      <c r="B6" s="6">
        <v>2</v>
      </c>
      <c r="D6" s="146" t="s">
        <v>40</v>
      </c>
      <c r="E6" s="147"/>
      <c r="G6" s="12">
        <f t="shared" si="2"/>
        <v>2017</v>
      </c>
      <c r="H6" s="32" t="e">
        <f t="shared" si="0"/>
        <v>#REF!</v>
      </c>
      <c r="I6" s="31" t="e">
        <f t="shared" si="3"/>
        <v>#REF!</v>
      </c>
      <c r="J6" s="32" t="e">
        <f t="shared" si="1"/>
        <v>#REF!</v>
      </c>
      <c r="K6" s="31" t="e">
        <f t="shared" si="4"/>
        <v>#REF!</v>
      </c>
    </row>
    <row r="7" spans="1:11" x14ac:dyDescent="0.35">
      <c r="A7" s="5" t="s">
        <v>53</v>
      </c>
      <c r="B7" s="22"/>
      <c r="D7" s="5" t="s">
        <v>39</v>
      </c>
      <c r="E7" s="9"/>
      <c r="G7" s="13">
        <f t="shared" si="2"/>
        <v>2018</v>
      </c>
      <c r="H7" s="32" t="e">
        <f t="shared" si="0"/>
        <v>#REF!</v>
      </c>
      <c r="I7" s="33" t="e">
        <f t="shared" si="3"/>
        <v>#REF!</v>
      </c>
      <c r="J7" s="32" t="e">
        <f t="shared" si="1"/>
        <v>#REF!</v>
      </c>
      <c r="K7" s="33" t="e">
        <f t="shared" si="4"/>
        <v>#REF!</v>
      </c>
    </row>
    <row r="8" spans="1:11" x14ac:dyDescent="0.35">
      <c r="A8" s="5" t="s">
        <v>54</v>
      </c>
      <c r="B8" s="22"/>
      <c r="D8" s="146" t="s">
        <v>41</v>
      </c>
      <c r="E8" s="147"/>
      <c r="G8" s="12">
        <f t="shared" si="2"/>
        <v>2019</v>
      </c>
      <c r="H8" s="32" t="e">
        <f t="shared" si="0"/>
        <v>#REF!</v>
      </c>
      <c r="I8" s="31" t="e">
        <f t="shared" si="3"/>
        <v>#REF!</v>
      </c>
      <c r="J8" s="32" t="e">
        <f t="shared" si="1"/>
        <v>#REF!</v>
      </c>
      <c r="K8" s="31" t="e">
        <f t="shared" si="4"/>
        <v>#REF!</v>
      </c>
    </row>
    <row r="9" spans="1:11" x14ac:dyDescent="0.35">
      <c r="D9" s="5" t="s">
        <v>44</v>
      </c>
      <c r="E9" s="9"/>
      <c r="G9" s="13">
        <f t="shared" si="2"/>
        <v>2020</v>
      </c>
      <c r="H9" s="32" t="e">
        <f t="shared" si="0"/>
        <v>#REF!</v>
      </c>
      <c r="I9" s="33" t="e">
        <f t="shared" si="3"/>
        <v>#REF!</v>
      </c>
      <c r="J9" s="32" t="e">
        <f t="shared" si="1"/>
        <v>#REF!</v>
      </c>
      <c r="K9" s="33" t="e">
        <f t="shared" si="4"/>
        <v>#REF!</v>
      </c>
    </row>
    <row r="10" spans="1:11" x14ac:dyDescent="0.35">
      <c r="A10" s="11" t="s">
        <v>29</v>
      </c>
      <c r="D10" s="5" t="s">
        <v>45</v>
      </c>
      <c r="E10" s="9"/>
      <c r="G10" s="12">
        <f t="shared" si="2"/>
        <v>2021</v>
      </c>
      <c r="H10" s="32" t="e">
        <f t="shared" si="0"/>
        <v>#REF!</v>
      </c>
      <c r="I10" s="31" t="e">
        <f t="shared" si="3"/>
        <v>#REF!</v>
      </c>
      <c r="J10" s="32" t="e">
        <f t="shared" si="1"/>
        <v>#REF!</v>
      </c>
      <c r="K10" s="31" t="e">
        <f t="shared" si="4"/>
        <v>#REF!</v>
      </c>
    </row>
    <row r="11" spans="1:11" x14ac:dyDescent="0.35">
      <c r="A11" s="10" t="s">
        <v>60</v>
      </c>
      <c r="B11" s="34" t="e">
        <f>(NPV($B$17,K4:K24)+NPV($B$17,I4:I24))/(1+$B$17)^2</f>
        <v>#REF!</v>
      </c>
      <c r="G11" s="13">
        <f t="shared" si="2"/>
        <v>2022</v>
      </c>
      <c r="H11" s="32" t="e">
        <f t="shared" si="0"/>
        <v>#REF!</v>
      </c>
      <c r="I11" s="33" t="e">
        <f t="shared" si="3"/>
        <v>#REF!</v>
      </c>
      <c r="J11" s="32" t="e">
        <f t="shared" si="1"/>
        <v>#REF!</v>
      </c>
      <c r="K11" s="33" t="e">
        <f t="shared" si="4"/>
        <v>#REF!</v>
      </c>
    </row>
    <row r="12" spans="1:11" x14ac:dyDescent="0.35">
      <c r="A12" s="10" t="s">
        <v>28</v>
      </c>
      <c r="B12" s="35" t="e">
        <f>B11/B7</f>
        <v>#REF!</v>
      </c>
      <c r="G12" s="12">
        <f t="shared" si="2"/>
        <v>2023</v>
      </c>
      <c r="H12" s="32" t="e">
        <f t="shared" si="0"/>
        <v>#REF!</v>
      </c>
      <c r="I12" s="31" t="e">
        <f t="shared" si="3"/>
        <v>#REF!</v>
      </c>
      <c r="J12" s="32" t="e">
        <f t="shared" si="1"/>
        <v>#REF!</v>
      </c>
      <c r="K12" s="31" t="e">
        <f t="shared" si="4"/>
        <v>#REF!</v>
      </c>
    </row>
    <row r="13" spans="1:11" x14ac:dyDescent="0.35">
      <c r="A13" s="10" t="s">
        <v>61</v>
      </c>
      <c r="B13" s="34" t="e">
        <f>B7*(B17/(1-(1+B17)^(-E5))/(SUM(H4:H29)+SUM(J4:J29)))</f>
        <v>#REF!</v>
      </c>
      <c r="G13" s="13">
        <f t="shared" si="2"/>
        <v>2024</v>
      </c>
      <c r="H13" s="32" t="e">
        <f t="shared" si="0"/>
        <v>#REF!</v>
      </c>
      <c r="I13" s="33" t="e">
        <f t="shared" si="3"/>
        <v>#REF!</v>
      </c>
      <c r="J13" s="32" t="e">
        <f t="shared" si="1"/>
        <v>#REF!</v>
      </c>
      <c r="K13" s="33" t="e">
        <f t="shared" si="4"/>
        <v>#REF!</v>
      </c>
    </row>
    <row r="14" spans="1:11" x14ac:dyDescent="0.35">
      <c r="G14" s="12">
        <f>G13+1</f>
        <v>2025</v>
      </c>
      <c r="H14" s="32">
        <f t="shared" si="0"/>
        <v>0</v>
      </c>
      <c r="I14" s="31" t="e">
        <f t="shared" si="3"/>
        <v>#REF!</v>
      </c>
      <c r="J14" s="32">
        <f t="shared" si="1"/>
        <v>0</v>
      </c>
      <c r="K14" s="31" t="e">
        <f t="shared" si="4"/>
        <v>#REF!</v>
      </c>
    </row>
    <row r="15" spans="1:11" x14ac:dyDescent="0.35">
      <c r="A15" s="15" t="s">
        <v>11</v>
      </c>
      <c r="G15" s="13">
        <f t="shared" si="2"/>
        <v>2026</v>
      </c>
      <c r="H15" s="32">
        <f t="shared" si="0"/>
        <v>0</v>
      </c>
      <c r="I15" s="33" t="e">
        <f t="shared" si="3"/>
        <v>#REF!</v>
      </c>
      <c r="J15" s="32">
        <f t="shared" si="1"/>
        <v>0</v>
      </c>
      <c r="K15" s="33" t="e">
        <f t="shared" si="4"/>
        <v>#REF!</v>
      </c>
    </row>
    <row r="16" spans="1:11" x14ac:dyDescent="0.35">
      <c r="A16" s="16" t="s">
        <v>12</v>
      </c>
      <c r="B16" s="16">
        <v>2015</v>
      </c>
      <c r="D16" s="15" t="s">
        <v>26</v>
      </c>
      <c r="E16" s="23" t="s">
        <v>20</v>
      </c>
      <c r="G16" s="12">
        <f t="shared" si="2"/>
        <v>2027</v>
      </c>
      <c r="H16" s="32">
        <f t="shared" si="0"/>
        <v>0</v>
      </c>
      <c r="I16" s="31" t="e">
        <f t="shared" si="3"/>
        <v>#REF!</v>
      </c>
      <c r="J16" s="32">
        <f t="shared" si="1"/>
        <v>0</v>
      </c>
      <c r="K16" s="31" t="e">
        <f t="shared" si="4"/>
        <v>#REF!</v>
      </c>
    </row>
    <row r="17" spans="1:11" x14ac:dyDescent="0.35">
      <c r="A17" s="16" t="s">
        <v>13</v>
      </c>
      <c r="B17" s="17">
        <v>7.0000000000000007E-2</v>
      </c>
      <c r="D17" s="19" t="s">
        <v>44</v>
      </c>
      <c r="E17" s="28" t="e">
        <f>IF(E9,E9,$E$7*B18*$B$22/10^6)</f>
        <v>#REF!</v>
      </c>
      <c r="G17" s="13">
        <f t="shared" si="2"/>
        <v>2028</v>
      </c>
      <c r="H17" s="32">
        <f t="shared" si="0"/>
        <v>0</v>
      </c>
      <c r="I17" s="33" t="e">
        <f t="shared" si="3"/>
        <v>#REF!</v>
      </c>
      <c r="J17" s="32">
        <f t="shared" si="1"/>
        <v>0</v>
      </c>
      <c r="K17" s="33" t="e">
        <f t="shared" si="4"/>
        <v>#REF!</v>
      </c>
    </row>
    <row r="18" spans="1:11" x14ac:dyDescent="0.35">
      <c r="A18" s="16" t="s">
        <v>36</v>
      </c>
      <c r="B18" s="38" t="e">
        <f>IF($B$6=2,'Assumed Values'!#REF!,0)</f>
        <v>#REF!</v>
      </c>
      <c r="D18" s="19" t="s">
        <v>45</v>
      </c>
      <c r="E18" s="28" t="e">
        <f>IF(E10,E10,$E$7*B19*$B$22/10^6)</f>
        <v>#REF!</v>
      </c>
      <c r="G18" s="12">
        <f t="shared" si="2"/>
        <v>2029</v>
      </c>
      <c r="H18" s="32">
        <f t="shared" si="0"/>
        <v>0</v>
      </c>
      <c r="I18" s="31" t="e">
        <f t="shared" si="3"/>
        <v>#REF!</v>
      </c>
      <c r="J18" s="32">
        <f t="shared" si="1"/>
        <v>0</v>
      </c>
      <c r="K18" s="31" t="e">
        <f t="shared" si="4"/>
        <v>#REF!</v>
      </c>
    </row>
    <row r="19" spans="1:11" x14ac:dyDescent="0.35">
      <c r="A19" s="16" t="s">
        <v>37</v>
      </c>
      <c r="B19" s="38" t="e">
        <f>IF($B$6=2,'Assumed Values'!#REF!,0)</f>
        <v>#REF!</v>
      </c>
      <c r="G19" s="13">
        <f t="shared" si="2"/>
        <v>2030</v>
      </c>
      <c r="H19" s="32">
        <f t="shared" si="0"/>
        <v>0</v>
      </c>
      <c r="I19" s="33" t="e">
        <f t="shared" si="3"/>
        <v>#REF!</v>
      </c>
      <c r="J19" s="32">
        <f t="shared" si="1"/>
        <v>0</v>
      </c>
      <c r="K19" s="33" t="e">
        <f t="shared" si="4"/>
        <v>#REF!</v>
      </c>
    </row>
    <row r="20" spans="1:11" x14ac:dyDescent="0.35">
      <c r="A20" s="16" t="s">
        <v>62</v>
      </c>
      <c r="B20" s="30" t="e">
        <f>'Assumed Values'!#REF!</f>
        <v>#REF!</v>
      </c>
      <c r="G20" s="12">
        <f t="shared" si="2"/>
        <v>2031</v>
      </c>
      <c r="H20" s="32">
        <f t="shared" si="0"/>
        <v>0</v>
      </c>
      <c r="I20" s="31" t="e">
        <f t="shared" si="3"/>
        <v>#REF!</v>
      </c>
      <c r="J20" s="32">
        <f t="shared" si="1"/>
        <v>0</v>
      </c>
      <c r="K20" s="31" t="e">
        <f t="shared" si="4"/>
        <v>#REF!</v>
      </c>
    </row>
    <row r="21" spans="1:11" x14ac:dyDescent="0.35">
      <c r="A21" s="16" t="s">
        <v>63</v>
      </c>
      <c r="B21" s="30" t="e">
        <f>'Assumed Values'!#REF!</f>
        <v>#REF!</v>
      </c>
      <c r="G21" s="13">
        <f t="shared" si="2"/>
        <v>2032</v>
      </c>
      <c r="H21" s="32">
        <f t="shared" si="0"/>
        <v>0</v>
      </c>
      <c r="I21" s="33" t="e">
        <f t="shared" si="3"/>
        <v>#REF!</v>
      </c>
      <c r="J21" s="32">
        <f t="shared" si="1"/>
        <v>0</v>
      </c>
      <c r="K21" s="33" t="e">
        <f t="shared" si="4"/>
        <v>#REF!</v>
      </c>
    </row>
    <row r="22" spans="1:11" x14ac:dyDescent="0.35">
      <c r="A22" s="16" t="s">
        <v>27</v>
      </c>
      <c r="B22" s="16">
        <v>260</v>
      </c>
      <c r="G22" s="12">
        <f t="shared" si="2"/>
        <v>2033</v>
      </c>
      <c r="H22" s="32">
        <f t="shared" si="0"/>
        <v>0</v>
      </c>
      <c r="I22" s="31" t="e">
        <f t="shared" si="3"/>
        <v>#REF!</v>
      </c>
      <c r="J22" s="32">
        <f t="shared" si="1"/>
        <v>0</v>
      </c>
      <c r="K22" s="31" t="e">
        <f t="shared" si="4"/>
        <v>#REF!</v>
      </c>
    </row>
    <row r="23" spans="1:11" x14ac:dyDescent="0.35">
      <c r="G23" s="13">
        <f t="shared" si="2"/>
        <v>2034</v>
      </c>
      <c r="H23" s="32">
        <f t="shared" si="0"/>
        <v>0</v>
      </c>
      <c r="I23" s="33" t="e">
        <f t="shared" si="3"/>
        <v>#REF!</v>
      </c>
      <c r="J23" s="32">
        <f t="shared" si="1"/>
        <v>0</v>
      </c>
      <c r="K23" s="33" t="e">
        <f t="shared" si="4"/>
        <v>#REF!</v>
      </c>
    </row>
    <row r="24" spans="1:11" x14ac:dyDescent="0.35">
      <c r="G24" s="12">
        <f t="shared" si="2"/>
        <v>2035</v>
      </c>
      <c r="H24" s="32">
        <f t="shared" si="0"/>
        <v>0</v>
      </c>
      <c r="I24" s="31" t="e">
        <f t="shared" si="3"/>
        <v>#REF!</v>
      </c>
      <c r="J24" s="32">
        <f t="shared" si="1"/>
        <v>0</v>
      </c>
      <c r="K24" s="31" t="e">
        <f t="shared" si="4"/>
        <v>#REF!</v>
      </c>
    </row>
    <row r="25" spans="1:11" x14ac:dyDescent="0.35">
      <c r="G25" s="13">
        <f t="shared" si="2"/>
        <v>2036</v>
      </c>
      <c r="H25" s="32">
        <f t="shared" ref="H25:H28" si="5">IF($G25&lt;($G$4+$E$5),$E$17,0)</f>
        <v>0</v>
      </c>
      <c r="I25" s="33" t="e">
        <f t="shared" ref="I25:I29" si="6">H25*$B$20/10^3</f>
        <v>#REF!</v>
      </c>
      <c r="J25" s="32">
        <f t="shared" ref="J25:J28" si="7">IF($G25&lt;($G$4+$E$5),$E$18,0)</f>
        <v>0</v>
      </c>
      <c r="K25" s="33" t="e">
        <f t="shared" ref="K25:K29" si="8">J25*$B$21/10^3</f>
        <v>#REF!</v>
      </c>
    </row>
    <row r="26" spans="1:11" x14ac:dyDescent="0.35">
      <c r="G26" s="12">
        <f t="shared" si="2"/>
        <v>2037</v>
      </c>
      <c r="H26" s="32">
        <f t="shared" si="5"/>
        <v>0</v>
      </c>
      <c r="I26" s="31" t="e">
        <f t="shared" si="6"/>
        <v>#REF!</v>
      </c>
      <c r="J26" s="32">
        <f t="shared" si="7"/>
        <v>0</v>
      </c>
      <c r="K26" s="31" t="e">
        <f t="shared" si="8"/>
        <v>#REF!</v>
      </c>
    </row>
    <row r="27" spans="1:11" x14ac:dyDescent="0.35">
      <c r="G27" s="13">
        <f t="shared" si="2"/>
        <v>2038</v>
      </c>
      <c r="H27" s="32">
        <f t="shared" si="5"/>
        <v>0</v>
      </c>
      <c r="I27" s="33" t="e">
        <f t="shared" si="6"/>
        <v>#REF!</v>
      </c>
      <c r="J27" s="32">
        <f t="shared" si="7"/>
        <v>0</v>
      </c>
      <c r="K27" s="33" t="e">
        <f t="shared" si="8"/>
        <v>#REF!</v>
      </c>
    </row>
    <row r="28" spans="1:11" x14ac:dyDescent="0.35">
      <c r="G28" s="12">
        <f t="shared" si="2"/>
        <v>2039</v>
      </c>
      <c r="H28" s="32">
        <f t="shared" si="5"/>
        <v>0</v>
      </c>
      <c r="I28" s="31" t="e">
        <f t="shared" si="6"/>
        <v>#REF!</v>
      </c>
      <c r="J28" s="32">
        <f t="shared" si="7"/>
        <v>0</v>
      </c>
      <c r="K28" s="31" t="e">
        <f t="shared" si="8"/>
        <v>#REF!</v>
      </c>
    </row>
    <row r="29" spans="1:11" x14ac:dyDescent="0.35">
      <c r="G29" s="13">
        <f t="shared" si="2"/>
        <v>2040</v>
      </c>
      <c r="H29" s="32">
        <f>IF($G29&lt;($G$4+$E$5),$E$17,0)</f>
        <v>0</v>
      </c>
      <c r="I29" s="33" t="e">
        <f t="shared" si="6"/>
        <v>#REF!</v>
      </c>
      <c r="J29" s="32">
        <f>IF($G29&lt;($G$4+$E$5),$E$18,0)</f>
        <v>0</v>
      </c>
      <c r="K29" s="33" t="e">
        <f t="shared" si="8"/>
        <v>#REF!</v>
      </c>
    </row>
    <row r="31" spans="1:11" x14ac:dyDescent="0.35">
      <c r="A31" s="24"/>
    </row>
    <row r="53" spans="1:1" x14ac:dyDescent="0.35">
      <c r="A53" t="s">
        <v>21</v>
      </c>
    </row>
    <row r="54" spans="1:1" x14ac:dyDescent="0.35">
      <c r="A54" t="s">
        <v>23</v>
      </c>
    </row>
    <row r="55" spans="1:1" x14ac:dyDescent="0.35">
      <c r="A55" t="s">
        <v>22</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1</xdr:col>
                    <xdr:colOff>0</xdr:colOff>
                    <xdr:row>5</xdr:row>
                    <xdr:rowOff>0</xdr:rowOff>
                  </from>
                  <to>
                    <xdr:col>2</xdr:col>
                    <xdr:colOff>0</xdr:colOff>
                    <xdr:row>6</xdr:row>
                    <xdr:rowOff>6350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B1:I39"/>
  <sheetViews>
    <sheetView topLeftCell="C25" zoomScale="145" zoomScaleNormal="145" workbookViewId="0">
      <selection activeCell="F29" sqref="F29"/>
    </sheetView>
  </sheetViews>
  <sheetFormatPr defaultColWidth="9.08984375" defaultRowHeight="14.5" x14ac:dyDescent="0.35"/>
  <cols>
    <col min="1" max="1" width="9.08984375" style="62"/>
    <col min="2" max="2" width="45.08984375" style="62" bestFit="1" customWidth="1"/>
    <col min="3" max="3" width="16.453125" style="72" customWidth="1"/>
    <col min="4" max="4" width="5.36328125" style="62" customWidth="1"/>
    <col min="5" max="5" width="5.08984375" style="62" customWidth="1"/>
    <col min="6" max="6" width="38.54296875" style="62" customWidth="1"/>
    <col min="7" max="7" width="15.36328125" style="62" bestFit="1" customWidth="1"/>
    <col min="8" max="8" width="18.08984375" style="62" bestFit="1" customWidth="1"/>
    <col min="9" max="9" width="28.08984375" style="62" customWidth="1"/>
    <col min="10" max="10" width="15.08984375" style="62" customWidth="1"/>
    <col min="11" max="16384" width="9.08984375" style="62"/>
  </cols>
  <sheetData>
    <row r="1" spans="2:8" x14ac:dyDescent="0.35">
      <c r="B1" s="61" t="s">
        <v>204</v>
      </c>
    </row>
    <row r="2" spans="2:8" ht="18.5" x14ac:dyDescent="0.35">
      <c r="B2" s="63" t="s">
        <v>72</v>
      </c>
      <c r="C2" s="76"/>
      <c r="D2" s="64"/>
      <c r="E2" s="64"/>
      <c r="F2" s="64"/>
    </row>
    <row r="3" spans="2:8" x14ac:dyDescent="0.35">
      <c r="G3" s="65"/>
      <c r="H3" s="65"/>
    </row>
    <row r="4" spans="2:8" x14ac:dyDescent="0.35">
      <c r="B4" s="148" t="s">
        <v>203</v>
      </c>
      <c r="C4" s="148"/>
    </row>
    <row r="5" spans="2:8" ht="29" x14ac:dyDescent="0.35">
      <c r="B5" s="66" t="s">
        <v>78</v>
      </c>
      <c r="C5" s="80" t="s">
        <v>235</v>
      </c>
      <c r="E5" s="66"/>
      <c r="F5" s="62" t="s">
        <v>164</v>
      </c>
    </row>
    <row r="6" spans="2:8" x14ac:dyDescent="0.35">
      <c r="B6" s="66" t="s">
        <v>79</v>
      </c>
      <c r="C6" s="67" t="s">
        <v>175</v>
      </c>
      <c r="E6" s="68"/>
      <c r="F6" s="62" t="s">
        <v>201</v>
      </c>
    </row>
    <row r="7" spans="2:8" x14ac:dyDescent="0.35">
      <c r="B7" s="66" t="s">
        <v>80</v>
      </c>
      <c r="C7" s="67" t="s">
        <v>181</v>
      </c>
      <c r="E7" s="55"/>
      <c r="F7" s="62" t="s">
        <v>182</v>
      </c>
    </row>
    <row r="8" spans="2:8" x14ac:dyDescent="0.35">
      <c r="B8" s="66" t="s">
        <v>192</v>
      </c>
      <c r="C8" s="67" t="s">
        <v>198</v>
      </c>
      <c r="E8" s="69"/>
      <c r="F8" s="62" t="s">
        <v>165</v>
      </c>
    </row>
    <row r="9" spans="2:8" x14ac:dyDescent="0.35">
      <c r="B9" s="66" t="s">
        <v>200</v>
      </c>
      <c r="C9" s="67" t="s">
        <v>236</v>
      </c>
    </row>
    <row r="10" spans="2:8" x14ac:dyDescent="0.35">
      <c r="B10" s="66" t="s">
        <v>81</v>
      </c>
      <c r="C10" s="67"/>
    </row>
    <row r="11" spans="2:8" x14ac:dyDescent="0.35">
      <c r="B11" s="66" t="s">
        <v>82</v>
      </c>
      <c r="C11" s="67"/>
      <c r="F11" s="70"/>
      <c r="G11" s="70"/>
    </row>
    <row r="12" spans="2:8" x14ac:dyDescent="0.35">
      <c r="B12" s="66" t="s">
        <v>83</v>
      </c>
      <c r="C12" s="67">
        <v>3.5</v>
      </c>
      <c r="F12" s="158" t="s">
        <v>237</v>
      </c>
      <c r="G12" s="71"/>
    </row>
    <row r="13" spans="2:8" x14ac:dyDescent="0.35">
      <c r="B13" s="66" t="s">
        <v>65</v>
      </c>
      <c r="C13" s="67">
        <v>941</v>
      </c>
      <c r="F13" s="158"/>
    </row>
    <row r="14" spans="2:8" x14ac:dyDescent="0.35">
      <c r="B14" s="66" t="s">
        <v>209</v>
      </c>
      <c r="C14" s="67"/>
      <c r="F14" s="158"/>
    </row>
    <row r="17" spans="2:9" x14ac:dyDescent="0.35">
      <c r="B17" s="148" t="s">
        <v>99</v>
      </c>
      <c r="C17" s="148"/>
    </row>
    <row r="18" spans="2:9" x14ac:dyDescent="0.35">
      <c r="B18" s="66" t="s">
        <v>206</v>
      </c>
      <c r="C18" s="67">
        <v>2026</v>
      </c>
    </row>
    <row r="19" spans="2:9" x14ac:dyDescent="0.35">
      <c r="B19" s="66" t="s">
        <v>100</v>
      </c>
      <c r="C19" s="80" t="s">
        <v>86</v>
      </c>
    </row>
    <row r="20" spans="2:9" x14ac:dyDescent="0.35">
      <c r="B20" s="66" t="s">
        <v>84</v>
      </c>
      <c r="C20" s="67">
        <v>20</v>
      </c>
      <c r="E20" s="54"/>
    </row>
    <row r="21" spans="2:9" ht="18.75" customHeight="1" x14ac:dyDescent="0.35">
      <c r="C21" s="90"/>
    </row>
    <row r="22" spans="2:9" x14ac:dyDescent="0.35">
      <c r="E22" s="54"/>
    </row>
    <row r="23" spans="2:9" x14ac:dyDescent="0.35">
      <c r="B23" s="148" t="s">
        <v>238</v>
      </c>
      <c r="C23" s="148"/>
    </row>
    <row r="24" spans="2:9" ht="29" x14ac:dyDescent="0.35">
      <c r="B24" s="75" t="s">
        <v>220</v>
      </c>
      <c r="C24" s="67">
        <v>0.66</v>
      </c>
      <c r="E24" s="54"/>
      <c r="F24" s="91" t="s">
        <v>239</v>
      </c>
      <c r="G24" s="74" t="s">
        <v>214</v>
      </c>
      <c r="H24" s="74" t="s">
        <v>215</v>
      </c>
    </row>
    <row r="25" spans="2:9" ht="43.5" x14ac:dyDescent="0.35">
      <c r="B25" s="75" t="s">
        <v>221</v>
      </c>
      <c r="C25" s="58">
        <v>1000</v>
      </c>
      <c r="E25" s="54"/>
      <c r="F25" s="86" t="s">
        <v>223</v>
      </c>
      <c r="G25" s="87">
        <f>($C$26*$C$24)/60</f>
        <v>14.240805046605423</v>
      </c>
      <c r="H25" s="88">
        <v>0</v>
      </c>
    </row>
    <row r="26" spans="2:9" ht="29" x14ac:dyDescent="0.35">
      <c r="B26" s="89" t="s">
        <v>222</v>
      </c>
      <c r="C26" s="59">
        <f>VLOOKUP(Year_Open_to_Traffic?,Calculations!H3:O36,5)</f>
        <v>1294.6186406004929</v>
      </c>
      <c r="F26" s="81"/>
      <c r="G26" s="82"/>
      <c r="H26" s="83"/>
    </row>
    <row r="27" spans="2:9" x14ac:dyDescent="0.35">
      <c r="F27" s="81"/>
      <c r="G27" s="84"/>
      <c r="H27" s="83"/>
    </row>
    <row r="28" spans="2:9" x14ac:dyDescent="0.35">
      <c r="E28" s="54"/>
      <c r="G28" s="84"/>
      <c r="H28" s="83"/>
      <c r="I28" s="73"/>
    </row>
    <row r="29" spans="2:9" x14ac:dyDescent="0.35">
      <c r="B29" s="148" t="s">
        <v>77</v>
      </c>
      <c r="C29" s="148"/>
      <c r="E29" s="54"/>
      <c r="F29" s="85"/>
      <c r="G29" s="84"/>
      <c r="H29" s="83"/>
    </row>
    <row r="30" spans="2:9" x14ac:dyDescent="0.35">
      <c r="B30" s="66" t="s">
        <v>213</v>
      </c>
      <c r="C30" s="58">
        <v>11726</v>
      </c>
      <c r="E30" s="54"/>
    </row>
    <row r="31" spans="2:9" x14ac:dyDescent="0.35">
      <c r="B31" s="143" t="s">
        <v>232</v>
      </c>
      <c r="C31" s="144">
        <v>18256</v>
      </c>
      <c r="E31" s="54"/>
    </row>
    <row r="32" spans="2:9" x14ac:dyDescent="0.35">
      <c r="B32" s="149"/>
      <c r="C32" s="150"/>
    </row>
    <row r="35" spans="2:8" ht="18.5" x14ac:dyDescent="0.35">
      <c r="B35" s="63" t="s">
        <v>73</v>
      </c>
      <c r="C35" s="76"/>
    </row>
    <row r="36" spans="2:8" x14ac:dyDescent="0.35">
      <c r="D36" s="65"/>
      <c r="E36" s="65"/>
      <c r="F36" s="65"/>
      <c r="G36" s="65"/>
      <c r="H36" s="65"/>
    </row>
    <row r="37" spans="2:8" hidden="1" x14ac:dyDescent="0.35">
      <c r="B37" s="77" t="s">
        <v>71</v>
      </c>
    </row>
    <row r="38" spans="2:8" x14ac:dyDescent="0.35">
      <c r="B38" s="77" t="s">
        <v>71</v>
      </c>
    </row>
    <row r="39" spans="2:8" x14ac:dyDescent="0.35">
      <c r="B39" s="78" t="s">
        <v>210</v>
      </c>
      <c r="C39" s="79">
        <f>Calculations!$T$37</f>
        <v>5045.5279026856188</v>
      </c>
    </row>
  </sheetData>
  <mergeCells count="6">
    <mergeCell ref="F12:F14"/>
    <mergeCell ref="B4:C4"/>
    <mergeCell ref="B17:C17"/>
    <mergeCell ref="B29:C29"/>
    <mergeCell ref="B32:C32"/>
    <mergeCell ref="B23:C23"/>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Calculations!$H$8:$H$17</xm:f>
          </x14:formula1>
          <xm:sqref>C18</xm:sqref>
        </x14:dataValidation>
        <x14:dataValidation type="list" allowBlank="1" showInputMessage="1" showErrorMessage="1" xr:uid="{00000000-0002-0000-0300-000000000000}">
          <x14:formula1>
            <xm:f>'Delay Reduction Factors'!$N$5:$N$6</xm:f>
          </x14:formula1>
          <xm:sqref>C7</xm:sqref>
        </x14:dataValidation>
        <x14:dataValidation type="list" allowBlank="1" showInputMessage="1" showErrorMessage="1" xr:uid="{00000000-0002-0000-0300-000001000000}">
          <x14:formula1>
            <xm:f>'Delay Reduction Factors'!$L$5:$L$12</xm:f>
          </x14:formula1>
          <xm:sqref>C6</xm:sqref>
        </x14:dataValidation>
        <x14:dataValidation type="list" allowBlank="1" showInputMessage="1" showErrorMessage="1" xr:uid="{8AA778AE-A6F5-495F-890E-B15B6EF78583}">
          <x14:formula1>
            <xm:f>'Delay Reduction Factors'!$P$5:$P$10</xm:f>
          </x14:formula1>
          <xm:sqref>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8"/>
  <sheetViews>
    <sheetView topLeftCell="M23" zoomScale="115" zoomScaleNormal="115" workbookViewId="0">
      <selection activeCell="S38" sqref="S38"/>
    </sheetView>
  </sheetViews>
  <sheetFormatPr defaultColWidth="9.08984375" defaultRowHeight="14.5" x14ac:dyDescent="0.35"/>
  <cols>
    <col min="1" max="1" width="45.08984375" style="94" bestFit="1" customWidth="1"/>
    <col min="2" max="2" width="12.54296875" style="94" customWidth="1"/>
    <col min="3" max="3" width="5.36328125" style="94" customWidth="1"/>
    <col min="4" max="4" width="32.453125" style="94" bestFit="1" customWidth="1"/>
    <col min="5" max="5" width="15.453125" style="94" bestFit="1" customWidth="1"/>
    <col min="6" max="6" width="15.54296875" style="94" bestFit="1" customWidth="1"/>
    <col min="7" max="7" width="4.54296875" style="94" customWidth="1"/>
    <col min="8" max="8" width="9.36328125" style="94" bestFit="1" customWidth="1"/>
    <col min="9" max="9" width="16.6328125" style="128" customWidth="1"/>
    <col min="10" max="10" width="16.90625" style="129" hidden="1" customWidth="1"/>
    <col min="11" max="11" width="11.453125" style="94" bestFit="1" customWidth="1"/>
    <col min="12" max="12" width="9.36328125" style="94" customWidth="1"/>
    <col min="13" max="13" width="12.6328125" style="94" bestFit="1" customWidth="1"/>
    <col min="14" max="14" width="10.90625" style="94" bestFit="1" customWidth="1"/>
    <col min="15" max="15" width="17.6328125" style="94" bestFit="1" customWidth="1"/>
    <col min="16" max="16" width="18.90625" style="94" bestFit="1" customWidth="1"/>
    <col min="17" max="17" width="15.453125" style="94" bestFit="1" customWidth="1"/>
    <col min="18" max="18" width="18.6328125" style="94" customWidth="1"/>
    <col min="19" max="19" width="28.36328125" style="94" customWidth="1"/>
    <col min="20" max="20" width="16.54296875" style="94" customWidth="1"/>
    <col min="21" max="22" width="9.08984375" style="94"/>
    <col min="23" max="23" width="10.90625" style="94" bestFit="1" customWidth="1"/>
    <col min="24" max="24" width="9.90625" style="94" bestFit="1" customWidth="1"/>
    <col min="25" max="16384" width="9.08984375" style="94"/>
  </cols>
  <sheetData>
    <row r="3" spans="1:24" ht="58" x14ac:dyDescent="0.35">
      <c r="A3" s="92" t="s">
        <v>11</v>
      </c>
      <c r="B3" s="93"/>
      <c r="D3" s="92" t="s">
        <v>26</v>
      </c>
      <c r="E3" s="95" t="s">
        <v>20</v>
      </c>
      <c r="F3" s="95" t="s">
        <v>19</v>
      </c>
      <c r="H3" s="96" t="s">
        <v>24</v>
      </c>
      <c r="I3" s="97" t="s">
        <v>67</v>
      </c>
      <c r="J3" s="98" t="s">
        <v>25</v>
      </c>
      <c r="K3" s="96" t="s">
        <v>68</v>
      </c>
      <c r="L3" s="99" t="s">
        <v>218</v>
      </c>
      <c r="M3" s="99" t="s">
        <v>217</v>
      </c>
      <c r="N3" s="99" t="s">
        <v>216</v>
      </c>
      <c r="O3" s="99" t="s">
        <v>98</v>
      </c>
      <c r="P3" s="99" t="s">
        <v>224</v>
      </c>
      <c r="Q3" s="96" t="s">
        <v>66</v>
      </c>
      <c r="R3" s="96" t="s">
        <v>74</v>
      </c>
      <c r="S3" s="96" t="s">
        <v>75</v>
      </c>
      <c r="T3" s="96" t="s">
        <v>76</v>
      </c>
    </row>
    <row r="4" spans="1:24" ht="29" x14ac:dyDescent="0.35">
      <c r="A4" s="100" t="s">
        <v>12</v>
      </c>
      <c r="B4" s="100">
        <v>2021</v>
      </c>
      <c r="D4" s="101" t="s">
        <v>219</v>
      </c>
      <c r="E4" s="102">
        <f>'Inputs &amp; Outputs'!H25*Annual_Days_of_Travel</f>
        <v>0</v>
      </c>
      <c r="F4" s="102">
        <f>'Inputs &amp; Outputs'!G25*Annual_Days_of_Travel</f>
        <v>5197.8938420109798</v>
      </c>
      <c r="H4" s="103">
        <v>2021</v>
      </c>
      <c r="I4" s="104" t="s">
        <v>70</v>
      </c>
      <c r="J4" s="105">
        <f>MIN(E8,1)</f>
        <v>1</v>
      </c>
      <c r="K4" s="106">
        <f t="shared" ref="K4:K36" si="0">-(ROUNDUP(J4,0)-2)</f>
        <v>1</v>
      </c>
      <c r="L4" s="107">
        <f>'Inputs &amp; Outputs'!C25</f>
        <v>1000</v>
      </c>
      <c r="M4" s="107">
        <f>IF(H4=Year_Open_to_Traffic?,$F$4,0)</f>
        <v>0</v>
      </c>
      <c r="N4" s="107">
        <f>IF(H4=Year_Open_to_Traffic?,Calculations!$E$4,0)</f>
        <v>0</v>
      </c>
      <c r="O4" s="107">
        <f>IF(AND(H4&gt;=Year_Open_to_Traffic?, Calculations!H4&lt;Year_Open_to_Traffic?+'Inputs &amp; Outputs'!C$20), 1, 0)</f>
        <v>0</v>
      </c>
      <c r="P4" s="108">
        <f t="shared" ref="P4:P36" si="1">(M4-N4)*O4</f>
        <v>0</v>
      </c>
      <c r="Q4" s="109">
        <f t="shared" ref="Q4:Q36" si="2">IF(AND(H4&gt;=Year_Open_to_Traffic?,H4&lt;Year_Open_to_Traffic?+Years_to_include_in_BCA_Analysis),1,0)</f>
        <v>0</v>
      </c>
      <c r="R4" s="110">
        <f>'Value of Travel Time'!$D$20*(1+Real_wage_growth_rate)^(H4-Base_Year)</f>
        <v>32.675719999999998</v>
      </c>
      <c r="S4" s="111">
        <f t="shared" ref="S4:S36" si="3">(P4*Q4)*(Vehicle_Occupancy*R4)/10^3</f>
        <v>0</v>
      </c>
      <c r="T4" s="112">
        <f t="shared" ref="T4:T36" si="4">S4/1.07^(H4-H$4)</f>
        <v>0</v>
      </c>
    </row>
    <row r="5" spans="1:24" x14ac:dyDescent="0.35">
      <c r="A5" s="100" t="s">
        <v>14</v>
      </c>
      <c r="B5" s="100">
        <v>1.39</v>
      </c>
      <c r="D5" s="100" t="s">
        <v>212</v>
      </c>
      <c r="E5" s="113">
        <f>'Growth Rates'!$C$16</f>
        <v>5.2999999999999999E-2</v>
      </c>
      <c r="F5" s="114"/>
      <c r="H5" s="115">
        <f t="shared" ref="H5:H36" si="5">H4+1</f>
        <v>2022</v>
      </c>
      <c r="I5" s="104">
        <f t="shared" ref="I5:I15" si="6">IF(ISERROR(_30_2045_Demand_Growth),_20_2045_Demand_Growth,_Facility_Type)</f>
        <v>5.2999999999999999E-2</v>
      </c>
      <c r="J5" s="116">
        <f t="shared" ref="J5:J11" si="7">J4*(1+IFERROR(_20_2030_V_C_Growth,_20_2045_V_C_Growth))</f>
        <v>1</v>
      </c>
      <c r="K5" s="117">
        <f t="shared" si="0"/>
        <v>1</v>
      </c>
      <c r="L5" s="118">
        <f t="shared" ref="L5:L36" si="8">(L4*I5)+L4</f>
        <v>1053</v>
      </c>
      <c r="M5" s="107">
        <f t="shared" ref="M5:M36" si="9">IF(H5=Year_Open_to_Traffic?,$F$4,M4+(M4*I5))</f>
        <v>0</v>
      </c>
      <c r="N5" s="107">
        <f>IF(H5=Year_Open_to_Traffic?,Calculations!$E$4,N4+(N4*I5))</f>
        <v>0</v>
      </c>
      <c r="O5" s="107">
        <f>IF(AND(H5&gt;=Year_Open_to_Traffic?, Calculations!H5&lt;Year_Open_to_Traffic?+'Inputs &amp; Outputs'!C$20), 1, 0)</f>
        <v>0</v>
      </c>
      <c r="P5" s="108">
        <f t="shared" si="1"/>
        <v>0</v>
      </c>
      <c r="Q5" s="109">
        <f t="shared" si="2"/>
        <v>0</v>
      </c>
      <c r="R5" s="110">
        <f>'Value of Travel Time'!$D$20*(1+Real_wage_growth_rate)^(H5-Base_Year)</f>
        <v>33.6559916</v>
      </c>
      <c r="S5" s="111">
        <f t="shared" si="3"/>
        <v>0</v>
      </c>
      <c r="T5" s="112">
        <f t="shared" si="4"/>
        <v>0</v>
      </c>
    </row>
    <row r="6" spans="1:24" x14ac:dyDescent="0.35">
      <c r="A6" s="100" t="s">
        <v>211</v>
      </c>
      <c r="B6" s="119">
        <v>32.68</v>
      </c>
      <c r="D6" s="100" t="s">
        <v>191</v>
      </c>
      <c r="E6" s="113">
        <f>'Growth Rates'!$C$16</f>
        <v>5.2999999999999999E-2</v>
      </c>
      <c r="F6" s="114"/>
      <c r="H6" s="103">
        <f t="shared" si="5"/>
        <v>2023</v>
      </c>
      <c r="I6" s="104">
        <f>IF(ISERROR(_30_2045_Demand_Growth),_20_2045_Demand_Growth,_Facility_Type)</f>
        <v>5.2999999999999999E-2</v>
      </c>
      <c r="J6" s="116">
        <f t="shared" si="7"/>
        <v>1</v>
      </c>
      <c r="K6" s="117">
        <f t="shared" si="0"/>
        <v>1</v>
      </c>
      <c r="L6" s="118">
        <f t="shared" si="8"/>
        <v>1108.809</v>
      </c>
      <c r="M6" s="107">
        <f t="shared" si="9"/>
        <v>0</v>
      </c>
      <c r="N6" s="107">
        <f>IF(H6=Year_Open_to_Traffic?,Calculations!$E$4,N5+(N5*I6))</f>
        <v>0</v>
      </c>
      <c r="O6" s="107">
        <f>IF(AND(H6&gt;=Year_Open_to_Traffic?, Calculations!H6&lt;Year_Open_to_Traffic?+'Inputs &amp; Outputs'!C$20), 1, 0)</f>
        <v>0</v>
      </c>
      <c r="P6" s="108">
        <f t="shared" si="1"/>
        <v>0</v>
      </c>
      <c r="Q6" s="109">
        <f t="shared" si="2"/>
        <v>0</v>
      </c>
      <c r="R6" s="110">
        <f>'Value of Travel Time'!$D$20*(1+Real_wage_growth_rate)^(H6-Base_Year)</f>
        <v>34.665671347999996</v>
      </c>
      <c r="S6" s="111">
        <f t="shared" si="3"/>
        <v>0</v>
      </c>
      <c r="T6" s="112">
        <f t="shared" si="4"/>
        <v>0</v>
      </c>
    </row>
    <row r="7" spans="1:24" x14ac:dyDescent="0.35">
      <c r="A7" s="100" t="s">
        <v>69</v>
      </c>
      <c r="B7" s="120">
        <f>'Assumed Values'!C10</f>
        <v>0.03</v>
      </c>
      <c r="E7" s="122"/>
      <c r="H7" s="115">
        <f t="shared" si="5"/>
        <v>2024</v>
      </c>
      <c r="I7" s="104">
        <f t="shared" si="6"/>
        <v>5.2999999999999999E-2</v>
      </c>
      <c r="J7" s="116">
        <f t="shared" si="7"/>
        <v>1</v>
      </c>
      <c r="K7" s="117">
        <f t="shared" si="0"/>
        <v>1</v>
      </c>
      <c r="L7" s="118">
        <f t="shared" si="8"/>
        <v>1167.575877</v>
      </c>
      <c r="M7" s="107">
        <f t="shared" si="9"/>
        <v>0</v>
      </c>
      <c r="N7" s="107">
        <f>IF(H7=Year_Open_to_Traffic?,Calculations!$E$4,N6+(N6*I7))</f>
        <v>0</v>
      </c>
      <c r="O7" s="107">
        <f>IF(AND(H7&gt;=Year_Open_to_Traffic?, Calculations!H7&lt;Year_Open_to_Traffic?+'Inputs &amp; Outputs'!C$20), 1, 0)</f>
        <v>0</v>
      </c>
      <c r="P7" s="108">
        <f t="shared" si="1"/>
        <v>0</v>
      </c>
      <c r="Q7" s="109">
        <f t="shared" si="2"/>
        <v>0</v>
      </c>
      <c r="R7" s="110">
        <f>'Value of Travel Time'!$D$20*(1+Real_wage_growth_rate)^(H7-Base_Year)</f>
        <v>35.705641488440001</v>
      </c>
      <c r="S7" s="111">
        <f t="shared" si="3"/>
        <v>0</v>
      </c>
      <c r="T7" s="112">
        <f t="shared" si="4"/>
        <v>0</v>
      </c>
    </row>
    <row r="8" spans="1:24" x14ac:dyDescent="0.35">
      <c r="A8" s="100" t="s">
        <v>202</v>
      </c>
      <c r="B8" s="100">
        <v>365</v>
      </c>
      <c r="E8" s="129"/>
      <c r="H8" s="103">
        <f t="shared" si="5"/>
        <v>2025</v>
      </c>
      <c r="I8" s="104">
        <f t="shared" si="6"/>
        <v>5.2999999999999999E-2</v>
      </c>
      <c r="J8" s="116">
        <f t="shared" si="7"/>
        <v>1</v>
      </c>
      <c r="K8" s="117">
        <f t="shared" si="0"/>
        <v>1</v>
      </c>
      <c r="L8" s="118">
        <f t="shared" si="8"/>
        <v>1229.4573984809999</v>
      </c>
      <c r="M8" s="107">
        <f t="shared" si="9"/>
        <v>0</v>
      </c>
      <c r="N8" s="107">
        <f>IF(H8=Year_Open_to_Traffic?,Calculations!$E$4,N7+(N7*I8))</f>
        <v>0</v>
      </c>
      <c r="O8" s="107">
        <f>IF(AND(H8&gt;=Year_Open_to_Traffic?, Calculations!H8&lt;Year_Open_to_Traffic?+'Inputs &amp; Outputs'!C$20), 1, 0)</f>
        <v>0</v>
      </c>
      <c r="P8" s="108">
        <f t="shared" si="1"/>
        <v>0</v>
      </c>
      <c r="Q8" s="109">
        <f t="shared" si="2"/>
        <v>0</v>
      </c>
      <c r="R8" s="110">
        <f>'Value of Travel Time'!$D$20*(1+Real_wage_growth_rate)^(H8-Base_Year)</f>
        <v>36.776810733093193</v>
      </c>
      <c r="S8" s="111">
        <f>(P8*Q8)*(Vehicle_Occupancy*R8)/10^3</f>
        <v>0</v>
      </c>
      <c r="T8" s="112">
        <f t="shared" si="4"/>
        <v>0</v>
      </c>
      <c r="W8" s="121"/>
      <c r="X8" s="121"/>
    </row>
    <row r="9" spans="1:24" x14ac:dyDescent="0.35">
      <c r="A9" s="100" t="s">
        <v>64</v>
      </c>
      <c r="B9" s="100">
        <f>'Inputs &amp; Outputs'!C20</f>
        <v>20</v>
      </c>
      <c r="E9" s="129"/>
      <c r="H9" s="115">
        <f t="shared" si="5"/>
        <v>2026</v>
      </c>
      <c r="I9" s="104">
        <f t="shared" si="6"/>
        <v>5.2999999999999999E-2</v>
      </c>
      <c r="J9" s="116">
        <f t="shared" si="7"/>
        <v>1</v>
      </c>
      <c r="K9" s="117">
        <f t="shared" si="0"/>
        <v>1</v>
      </c>
      <c r="L9" s="118">
        <f t="shared" si="8"/>
        <v>1294.6186406004929</v>
      </c>
      <c r="M9" s="107">
        <f t="shared" si="9"/>
        <v>5197.8938420109798</v>
      </c>
      <c r="N9" s="107">
        <f>IF(H9=Year_Open_to_Traffic?,Calculations!$E$4,N8+(N8*I9))</f>
        <v>0</v>
      </c>
      <c r="O9" s="107">
        <f>IF(AND(H9&gt;=Year_Open_to_Traffic?, Calculations!H9&lt;Year_Open_to_Traffic?+'Inputs &amp; Outputs'!C$20), 1, 0)</f>
        <v>1</v>
      </c>
      <c r="P9" s="108">
        <f t="shared" si="1"/>
        <v>5197.8938420109798</v>
      </c>
      <c r="Q9" s="109">
        <f t="shared" si="2"/>
        <v>1</v>
      </c>
      <c r="R9" s="110">
        <f>'Value of Travel Time'!$D$20*(1+Real_wage_growth_rate)^(H9-Base_Year)</f>
        <v>37.880115055085987</v>
      </c>
      <c r="S9" s="111">
        <f t="shared" si="3"/>
        <v>273.6865753235034</v>
      </c>
      <c r="T9" s="112">
        <f t="shared" si="4"/>
        <v>195.13474571587392</v>
      </c>
      <c r="W9" s="121"/>
    </row>
    <row r="10" spans="1:24" x14ac:dyDescent="0.35">
      <c r="E10" s="129"/>
      <c r="H10" s="103">
        <f t="shared" si="5"/>
        <v>2027</v>
      </c>
      <c r="I10" s="104">
        <f t="shared" si="6"/>
        <v>5.2999999999999999E-2</v>
      </c>
      <c r="J10" s="116">
        <f t="shared" si="7"/>
        <v>1</v>
      </c>
      <c r="K10" s="117">
        <f t="shared" si="0"/>
        <v>1</v>
      </c>
      <c r="L10" s="118">
        <f t="shared" si="8"/>
        <v>1363.2334285523191</v>
      </c>
      <c r="M10" s="107">
        <f t="shared" si="9"/>
        <v>5473.3822156375618</v>
      </c>
      <c r="N10" s="107">
        <f>IF(H10=Year_Open_to_Traffic?,Calculations!$E$4,N9+(N9*I10))</f>
        <v>0</v>
      </c>
      <c r="O10" s="107">
        <f>IF(AND(H10&gt;=Year_Open_to_Traffic?, Calculations!H10&lt;Year_Open_to_Traffic?+'Inputs &amp; Outputs'!C$20), 1, 0)</f>
        <v>1</v>
      </c>
      <c r="P10" s="108">
        <f t="shared" si="1"/>
        <v>5473.3822156375618</v>
      </c>
      <c r="Q10" s="109">
        <f t="shared" si="2"/>
        <v>1</v>
      </c>
      <c r="R10" s="110">
        <f>'Value of Travel Time'!$D$20*(1+Real_wage_growth_rate)^(H10-Base_Year)</f>
        <v>39.016518506738571</v>
      </c>
      <c r="S10" s="111">
        <f t="shared" si="3"/>
        <v>296.83772273011857</v>
      </c>
      <c r="T10" s="112">
        <f t="shared" si="4"/>
        <v>197.79550827661657</v>
      </c>
      <c r="W10" s="121"/>
    </row>
    <row r="11" spans="1:24" ht="30" customHeight="1" x14ac:dyDescent="0.35">
      <c r="A11" s="151" t="s">
        <v>184</v>
      </c>
      <c r="B11" s="152"/>
      <c r="E11" s="122"/>
      <c r="H11" s="115">
        <f t="shared" si="5"/>
        <v>2028</v>
      </c>
      <c r="I11" s="104">
        <f t="shared" si="6"/>
        <v>5.2999999999999999E-2</v>
      </c>
      <c r="J11" s="116">
        <f t="shared" si="7"/>
        <v>1</v>
      </c>
      <c r="K11" s="117">
        <f t="shared" si="0"/>
        <v>1</v>
      </c>
      <c r="L11" s="118">
        <f t="shared" si="8"/>
        <v>1435.484800265592</v>
      </c>
      <c r="M11" s="107">
        <f t="shared" si="9"/>
        <v>5763.4714730663527</v>
      </c>
      <c r="N11" s="107">
        <f>IF(H11=Year_Open_to_Traffic?,Calculations!$E$4,N10+(N10*I11))</f>
        <v>0</v>
      </c>
      <c r="O11" s="107">
        <f>IF(AND(H11&gt;=Year_Open_to_Traffic?, Calculations!H11&lt;Year_Open_to_Traffic?+'Inputs &amp; Outputs'!C$20), 1, 0)</f>
        <v>1</v>
      </c>
      <c r="P11" s="108">
        <f t="shared" si="1"/>
        <v>5763.4714730663527</v>
      </c>
      <c r="Q11" s="109">
        <f t="shared" si="2"/>
        <v>1</v>
      </c>
      <c r="R11" s="110">
        <f>'Value of Travel Time'!$D$20*(1+Real_wage_growth_rate)^(H11-Base_Year)</f>
        <v>40.187014061940729</v>
      </c>
      <c r="S11" s="111">
        <f t="shared" si="3"/>
        <v>321.94722569585934</v>
      </c>
      <c r="T11" s="112">
        <f t="shared" si="4"/>
        <v>200.4925517025566</v>
      </c>
      <c r="W11" s="121"/>
    </row>
    <row r="12" spans="1:24" x14ac:dyDescent="0.35">
      <c r="A12" s="100" t="s">
        <v>180</v>
      </c>
      <c r="B12" s="123">
        <v>0.45</v>
      </c>
      <c r="E12" s="122"/>
      <c r="H12" s="103">
        <v>2026</v>
      </c>
      <c r="I12" s="104">
        <f t="shared" si="6"/>
        <v>5.2999999999999999E-2</v>
      </c>
      <c r="J12" s="116">
        <f t="shared" ref="J12:J36" si="10">J11*(1+IFERROR(_30_2045_V_C_Growth,_20_2045_V_C_Growth))</f>
        <v>1</v>
      </c>
      <c r="K12" s="117">
        <f t="shared" si="0"/>
        <v>1</v>
      </c>
      <c r="L12" s="118">
        <f t="shared" si="8"/>
        <v>1511.5654946796683</v>
      </c>
      <c r="M12" s="107">
        <f t="shared" si="9"/>
        <v>5197.8938420109798</v>
      </c>
      <c r="N12" s="107">
        <f>IF(H12=Year_Open_to_Traffic?,Calculations!$E$4,N11+(N11*I12))</f>
        <v>0</v>
      </c>
      <c r="O12" s="107">
        <v>1</v>
      </c>
      <c r="P12" s="108">
        <f t="shared" si="1"/>
        <v>5197.8938420109798</v>
      </c>
      <c r="Q12" s="109">
        <v>1</v>
      </c>
      <c r="R12" s="110">
        <f>'Value of Travel Time'!$D$20*(1+Real_wage_growth_rate)^(H12-Base_Year)</f>
        <v>37.880115055085987</v>
      </c>
      <c r="S12" s="111">
        <f t="shared" si="3"/>
        <v>273.6865753235034</v>
      </c>
      <c r="T12" s="112">
        <f t="shared" si="4"/>
        <v>195.13474571587392</v>
      </c>
      <c r="W12" s="121"/>
    </row>
    <row r="13" spans="1:24" x14ac:dyDescent="0.35">
      <c r="A13" s="100" t="s">
        <v>181</v>
      </c>
      <c r="B13" s="123">
        <v>0.43</v>
      </c>
      <c r="E13" s="122"/>
      <c r="H13" s="115">
        <f t="shared" si="5"/>
        <v>2027</v>
      </c>
      <c r="I13" s="104">
        <f t="shared" si="6"/>
        <v>5.2999999999999999E-2</v>
      </c>
      <c r="J13" s="116">
        <f t="shared" si="10"/>
        <v>1</v>
      </c>
      <c r="K13" s="117">
        <f t="shared" si="0"/>
        <v>1</v>
      </c>
      <c r="L13" s="118">
        <f t="shared" si="8"/>
        <v>1591.6784658976908</v>
      </c>
      <c r="M13" s="107">
        <f t="shared" si="9"/>
        <v>5473.3822156375618</v>
      </c>
      <c r="N13" s="107">
        <f>IF(H13=Year_Open_to_Traffic?,Calculations!$E$4,N12+(N12*I13))</f>
        <v>0</v>
      </c>
      <c r="O13" s="107">
        <f>IF(AND(H13&gt;=Year_Open_to_Traffic?, Calculations!H13&lt;Year_Open_to_Traffic?+'Inputs &amp; Outputs'!C$20), 1, 0)</f>
        <v>1</v>
      </c>
      <c r="P13" s="108">
        <f t="shared" si="1"/>
        <v>5473.3822156375618</v>
      </c>
      <c r="Q13" s="109">
        <f t="shared" si="2"/>
        <v>1</v>
      </c>
      <c r="R13" s="110">
        <f>'Value of Travel Time'!$D$20*(1+Real_wage_growth_rate)^(H13-Base_Year)</f>
        <v>39.016518506738571</v>
      </c>
      <c r="S13" s="111">
        <f t="shared" si="3"/>
        <v>296.83772273011857</v>
      </c>
      <c r="T13" s="112">
        <f t="shared" si="4"/>
        <v>197.79550827661657</v>
      </c>
      <c r="W13" s="121"/>
    </row>
    <row r="14" spans="1:24" x14ac:dyDescent="0.35">
      <c r="H14" s="103">
        <f>H13+1</f>
        <v>2028</v>
      </c>
      <c r="I14" s="104">
        <f t="shared" si="6"/>
        <v>5.2999999999999999E-2</v>
      </c>
      <c r="J14" s="116">
        <f t="shared" si="10"/>
        <v>1</v>
      </c>
      <c r="K14" s="117">
        <f t="shared" si="0"/>
        <v>1</v>
      </c>
      <c r="L14" s="118">
        <f t="shared" si="8"/>
        <v>1676.0374245902683</v>
      </c>
      <c r="M14" s="107">
        <f t="shared" si="9"/>
        <v>5763.4714730663527</v>
      </c>
      <c r="N14" s="107">
        <f>IF(H14=Year_Open_to_Traffic?,Calculations!$E$4,N13+(N13*I14))</f>
        <v>0</v>
      </c>
      <c r="O14" s="107">
        <f>IF(AND(H14&gt;=Year_Open_to_Traffic?, Calculations!H14&lt;Year_Open_to_Traffic?+'Inputs &amp; Outputs'!C$20), 1, 0)</f>
        <v>1</v>
      </c>
      <c r="P14" s="108">
        <f t="shared" si="1"/>
        <v>5763.4714730663527</v>
      </c>
      <c r="Q14" s="109">
        <f t="shared" si="2"/>
        <v>1</v>
      </c>
      <c r="R14" s="110">
        <f>'Value of Travel Time'!$D$20*(1+Real_wage_growth_rate)^(H14-Base_Year)</f>
        <v>40.187014061940729</v>
      </c>
      <c r="S14" s="111">
        <f t="shared" si="3"/>
        <v>321.94722569585934</v>
      </c>
      <c r="T14" s="112">
        <f t="shared" si="4"/>
        <v>200.4925517025566</v>
      </c>
      <c r="W14" s="121"/>
    </row>
    <row r="15" spans="1:24" x14ac:dyDescent="0.35">
      <c r="H15" s="115">
        <f t="shared" si="5"/>
        <v>2029</v>
      </c>
      <c r="I15" s="104">
        <f t="shared" si="6"/>
        <v>5.2999999999999999E-2</v>
      </c>
      <c r="J15" s="116">
        <f t="shared" si="10"/>
        <v>1</v>
      </c>
      <c r="K15" s="117">
        <f t="shared" si="0"/>
        <v>1</v>
      </c>
      <c r="L15" s="118">
        <f t="shared" si="8"/>
        <v>1764.8674080935525</v>
      </c>
      <c r="M15" s="107">
        <f t="shared" si="9"/>
        <v>6068.935461138869</v>
      </c>
      <c r="N15" s="107">
        <f>IF(H15=Year_Open_to_Traffic?,Calculations!$E$4,N14+(N14*I15))</f>
        <v>0</v>
      </c>
      <c r="O15" s="107">
        <f>IF(AND(H15&gt;=Year_Open_to_Traffic?, Calculations!H15&lt;Year_Open_to_Traffic?+'Inputs &amp; Outputs'!C$20), 1, 0)</f>
        <v>1</v>
      </c>
      <c r="P15" s="108">
        <f t="shared" si="1"/>
        <v>6068.935461138869</v>
      </c>
      <c r="Q15" s="109">
        <f t="shared" si="2"/>
        <v>1</v>
      </c>
      <c r="R15" s="110">
        <f>'Value of Travel Time'!$D$20*(1+Real_wage_growth_rate)^(H15-Base_Year)</f>
        <v>41.392624483798947</v>
      </c>
      <c r="S15" s="111">
        <f t="shared" si="3"/>
        <v>349.18074151747203</v>
      </c>
      <c r="T15" s="112">
        <f t="shared" si="4"/>
        <v>203.22637070194003</v>
      </c>
      <c r="W15" s="121"/>
    </row>
    <row r="16" spans="1:24" x14ac:dyDescent="0.35">
      <c r="A16" s="153" t="s">
        <v>207</v>
      </c>
      <c r="B16" s="154"/>
      <c r="H16" s="103">
        <f t="shared" si="5"/>
        <v>2030</v>
      </c>
      <c r="I16" s="104">
        <f t="shared" ref="I16:I36" si="11">IFERROR(_30_2045_Demand_Growth,_20_2045_Demand_Growth)</f>
        <v>5.2999999999999999E-2</v>
      </c>
      <c r="J16" s="116">
        <f t="shared" si="10"/>
        <v>1</v>
      </c>
      <c r="K16" s="117">
        <f t="shared" si="0"/>
        <v>1</v>
      </c>
      <c r="L16" s="118">
        <f t="shared" si="8"/>
        <v>1858.4053807225107</v>
      </c>
      <c r="M16" s="107">
        <f t="shared" si="9"/>
        <v>6390.5890405792288</v>
      </c>
      <c r="N16" s="107">
        <f>IF(H16=Year_Open_to_Traffic?,Calculations!$E$4,N15+(N15*I16))</f>
        <v>0</v>
      </c>
      <c r="O16" s="107">
        <f>IF(AND(H16&gt;=Year_Open_to_Traffic?, Calculations!H16&lt;Year_Open_to_Traffic?+'Inputs &amp; Outputs'!C$20), 1, 0)</f>
        <v>1</v>
      </c>
      <c r="P16" s="108">
        <f t="shared" si="1"/>
        <v>6390.5890405792288</v>
      </c>
      <c r="Q16" s="109">
        <f t="shared" si="2"/>
        <v>1</v>
      </c>
      <c r="R16" s="110">
        <f>'Value of Travel Time'!$D$20*(1+Real_wage_growth_rate)^(H16-Base_Year)</f>
        <v>42.634403218312919</v>
      </c>
      <c r="S16" s="111">
        <f t="shared" si="3"/>
        <v>378.71794044243495</v>
      </c>
      <c r="T16" s="112">
        <f t="shared" si="4"/>
        <v>205.99746672861411</v>
      </c>
      <c r="W16" s="121"/>
    </row>
    <row r="17" spans="8:23" x14ac:dyDescent="0.35">
      <c r="H17" s="115">
        <f t="shared" si="5"/>
        <v>2031</v>
      </c>
      <c r="I17" s="104">
        <f t="shared" si="11"/>
        <v>5.2999999999999999E-2</v>
      </c>
      <c r="J17" s="116">
        <f t="shared" si="10"/>
        <v>1</v>
      </c>
      <c r="K17" s="117">
        <f t="shared" si="0"/>
        <v>1</v>
      </c>
      <c r="L17" s="118">
        <f t="shared" si="8"/>
        <v>1956.9008659008039</v>
      </c>
      <c r="M17" s="107">
        <f t="shared" si="9"/>
        <v>6729.290259729928</v>
      </c>
      <c r="N17" s="107">
        <f>IF(H17=Year_Open_to_Traffic?,Calculations!$E$4,N16+(N16*I17))</f>
        <v>0</v>
      </c>
      <c r="O17" s="107">
        <f>IF(AND(H17&gt;=Year_Open_to_Traffic?, Calculations!H17&lt;Year_Open_to_Traffic?+'Inputs &amp; Outputs'!C$20), 1, 0)</f>
        <v>1</v>
      </c>
      <c r="P17" s="108">
        <f t="shared" si="1"/>
        <v>6729.290259729928</v>
      </c>
      <c r="Q17" s="109">
        <f t="shared" si="2"/>
        <v>1</v>
      </c>
      <c r="R17" s="110">
        <f>'Value of Travel Time'!$D$20*(1+Real_wage_growth_rate)^(H17-Base_Year)</f>
        <v>43.913435314862305</v>
      </c>
      <c r="S17" s="111">
        <f t="shared" si="3"/>
        <v>410.75369102446052</v>
      </c>
      <c r="T17" s="112">
        <f t="shared" si="4"/>
        <v>208.8063480740071</v>
      </c>
      <c r="W17" s="121"/>
    </row>
    <row r="18" spans="8:23" x14ac:dyDescent="0.35">
      <c r="H18" s="103">
        <f t="shared" si="5"/>
        <v>2032</v>
      </c>
      <c r="I18" s="104">
        <f t="shared" si="11"/>
        <v>5.2999999999999999E-2</v>
      </c>
      <c r="J18" s="116">
        <f t="shared" si="10"/>
        <v>1</v>
      </c>
      <c r="K18" s="117">
        <f t="shared" si="0"/>
        <v>1</v>
      </c>
      <c r="L18" s="118">
        <f t="shared" si="8"/>
        <v>2060.6166117935463</v>
      </c>
      <c r="M18" s="107">
        <f t="shared" si="9"/>
        <v>7085.942643495614</v>
      </c>
      <c r="N18" s="107">
        <f>IF(H18=Year_Open_to_Traffic?,Calculations!$E$4,N17+(N17*I18))</f>
        <v>0</v>
      </c>
      <c r="O18" s="107">
        <f>IF(AND(H18&gt;=Year_Open_to_Traffic?, Calculations!H18&lt;Year_Open_to_Traffic?+'Inputs &amp; Outputs'!C$20), 1, 0)</f>
        <v>1</v>
      </c>
      <c r="P18" s="108">
        <f t="shared" si="1"/>
        <v>7085.942643495614</v>
      </c>
      <c r="Q18" s="109">
        <f t="shared" si="2"/>
        <v>1</v>
      </c>
      <c r="R18" s="110">
        <f>'Value of Travel Time'!$D$20*(1+Real_wage_growth_rate)^(H18-Base_Year)</f>
        <v>45.230838374308178</v>
      </c>
      <c r="S18" s="111">
        <f t="shared" si="3"/>
        <v>445.4993457482197</v>
      </c>
      <c r="T18" s="112">
        <f t="shared" si="4"/>
        <v>211.65352996036202</v>
      </c>
      <c r="W18" s="121"/>
    </row>
    <row r="19" spans="8:23" x14ac:dyDescent="0.35">
      <c r="H19" s="115">
        <f t="shared" si="5"/>
        <v>2033</v>
      </c>
      <c r="I19" s="104">
        <f t="shared" si="11"/>
        <v>5.2999999999999999E-2</v>
      </c>
      <c r="J19" s="116">
        <f t="shared" si="10"/>
        <v>1</v>
      </c>
      <c r="K19" s="117">
        <f t="shared" si="0"/>
        <v>1</v>
      </c>
      <c r="L19" s="118">
        <f t="shared" si="8"/>
        <v>2169.8292922186042</v>
      </c>
      <c r="M19" s="107">
        <f t="shared" si="9"/>
        <v>7461.4976036008811</v>
      </c>
      <c r="N19" s="107">
        <f>IF(H19=Year_Open_to_Traffic?,Calculations!$E$4,N18+(N18*I19))</f>
        <v>0</v>
      </c>
      <c r="O19" s="107">
        <f>IF(AND(H19&gt;=Year_Open_to_Traffic?, Calculations!H19&lt;Year_Open_to_Traffic?+'Inputs &amp; Outputs'!C$20), 1, 0)</f>
        <v>1</v>
      </c>
      <c r="P19" s="108">
        <f t="shared" si="1"/>
        <v>7461.4976036008811</v>
      </c>
      <c r="Q19" s="109">
        <f t="shared" si="2"/>
        <v>1</v>
      </c>
      <c r="R19" s="110">
        <f>'Value of Travel Time'!$D$20*(1+Real_wage_growth_rate)^(H19-Base_Year)</f>
        <v>46.587763525537412</v>
      </c>
      <c r="S19" s="111">
        <f t="shared" si="3"/>
        <v>483.1841354050614</v>
      </c>
      <c r="T19" s="112">
        <f t="shared" si="4"/>
        <v>214.53953463524203</v>
      </c>
      <c r="W19" s="121"/>
    </row>
    <row r="20" spans="8:23" x14ac:dyDescent="0.35">
      <c r="H20" s="103">
        <f t="shared" si="5"/>
        <v>2034</v>
      </c>
      <c r="I20" s="104">
        <f t="shared" si="11"/>
        <v>5.2999999999999999E-2</v>
      </c>
      <c r="J20" s="116">
        <f t="shared" si="10"/>
        <v>1</v>
      </c>
      <c r="K20" s="117">
        <f t="shared" si="0"/>
        <v>1</v>
      </c>
      <c r="L20" s="118">
        <f t="shared" si="8"/>
        <v>2284.8302447061901</v>
      </c>
      <c r="M20" s="107">
        <f t="shared" si="9"/>
        <v>7856.9569765917277</v>
      </c>
      <c r="N20" s="107">
        <f>IF(H20=Year_Open_to_Traffic?,Calculations!$E$4,N19+(N19*I20))</f>
        <v>0</v>
      </c>
      <c r="O20" s="107">
        <f>IF(AND(H20&gt;=Year_Open_to_Traffic?, Calculations!H20&lt;Year_Open_to_Traffic?+'Inputs &amp; Outputs'!C$20), 1, 0)</f>
        <v>1</v>
      </c>
      <c r="P20" s="108">
        <f t="shared" si="1"/>
        <v>7856.9569765917277</v>
      </c>
      <c r="Q20" s="109">
        <f t="shared" si="2"/>
        <v>1</v>
      </c>
      <c r="R20" s="110">
        <f>'Value of Travel Time'!$D$20*(1+Real_wage_growth_rate)^(H20-Base_Year)</f>
        <v>47.985396431303535</v>
      </c>
      <c r="S20" s="111">
        <f t="shared" si="3"/>
        <v>524.05668141897559</v>
      </c>
      <c r="T20" s="112">
        <f t="shared" si="4"/>
        <v>217.46489146732446</v>
      </c>
      <c r="W20" s="121"/>
    </row>
    <row r="21" spans="8:23" x14ac:dyDescent="0.35">
      <c r="H21" s="115">
        <f t="shared" si="5"/>
        <v>2035</v>
      </c>
      <c r="I21" s="104">
        <f t="shared" si="11"/>
        <v>5.2999999999999999E-2</v>
      </c>
      <c r="J21" s="116">
        <f t="shared" si="10"/>
        <v>1</v>
      </c>
      <c r="K21" s="117">
        <f t="shared" si="0"/>
        <v>1</v>
      </c>
      <c r="L21" s="118">
        <f t="shared" si="8"/>
        <v>2405.926247675618</v>
      </c>
      <c r="M21" s="107">
        <f t="shared" si="9"/>
        <v>8273.3756963510896</v>
      </c>
      <c r="N21" s="107">
        <f>IF(H21=Year_Open_to_Traffic?,Calculations!$E$4,N20+(N20*I21))</f>
        <v>0</v>
      </c>
      <c r="O21" s="107">
        <f>IF(AND(H21&gt;=Year_Open_to_Traffic?, Calculations!H21&lt;Year_Open_to_Traffic?+'Inputs &amp; Outputs'!C$20), 1, 0)</f>
        <v>1</v>
      </c>
      <c r="P21" s="108">
        <f t="shared" si="1"/>
        <v>8273.3756963510896</v>
      </c>
      <c r="Q21" s="109">
        <f t="shared" si="2"/>
        <v>1</v>
      </c>
      <c r="R21" s="110">
        <f>'Value of Travel Time'!$D$20*(1+Real_wage_growth_rate)^(H21-Base_Year)</f>
        <v>49.424958324242645</v>
      </c>
      <c r="S21" s="111">
        <f t="shared" si="3"/>
        <v>568.38663610020683</v>
      </c>
      <c r="T21" s="112">
        <f t="shared" si="4"/>
        <v>220.43013704350045</v>
      </c>
      <c r="W21" s="121"/>
    </row>
    <row r="22" spans="8:23" x14ac:dyDescent="0.35">
      <c r="H22" s="103">
        <f>H21+1</f>
        <v>2036</v>
      </c>
      <c r="I22" s="104">
        <f t="shared" si="11"/>
        <v>5.2999999999999999E-2</v>
      </c>
      <c r="J22" s="116">
        <f t="shared" si="10"/>
        <v>1</v>
      </c>
      <c r="K22" s="117">
        <f t="shared" si="0"/>
        <v>1</v>
      </c>
      <c r="L22" s="118">
        <f t="shared" si="8"/>
        <v>2533.4403388024257</v>
      </c>
      <c r="M22" s="107">
        <f t="shared" si="9"/>
        <v>8711.8646082576979</v>
      </c>
      <c r="N22" s="107">
        <f>IF(H22=Year_Open_to_Traffic?,Calculations!$E$4,N21+(N21*I22))</f>
        <v>0</v>
      </c>
      <c r="O22" s="107">
        <f>IF(AND(H22&gt;=Year_Open_to_Traffic?, Calculations!H22&lt;Year_Open_to_Traffic?+'Inputs &amp; Outputs'!C$20), 1, 0)</f>
        <v>1</v>
      </c>
      <c r="P22" s="108">
        <f t="shared" si="1"/>
        <v>8711.8646082576979</v>
      </c>
      <c r="Q22" s="109">
        <f t="shared" si="2"/>
        <v>1</v>
      </c>
      <c r="R22" s="110">
        <f>'Value of Travel Time'!$D$20*(1+Real_wage_growth_rate)^(H22-Base_Year)</f>
        <v>50.907707073969931</v>
      </c>
      <c r="S22" s="111">
        <f t="shared" si="3"/>
        <v>616.46646164792344</v>
      </c>
      <c r="T22" s="112">
        <f t="shared" si="4"/>
        <v>223.43581526729923</v>
      </c>
      <c r="W22" s="121"/>
    </row>
    <row r="23" spans="8:23" x14ac:dyDescent="0.35">
      <c r="H23" s="115">
        <f t="shared" si="5"/>
        <v>2037</v>
      </c>
      <c r="I23" s="104">
        <f t="shared" si="11"/>
        <v>5.2999999999999999E-2</v>
      </c>
      <c r="J23" s="116">
        <f t="shared" si="10"/>
        <v>1</v>
      </c>
      <c r="K23" s="117">
        <f t="shared" si="0"/>
        <v>1</v>
      </c>
      <c r="L23" s="118">
        <f t="shared" si="8"/>
        <v>2667.7126767589543</v>
      </c>
      <c r="M23" s="107">
        <f t="shared" si="9"/>
        <v>9173.593432495356</v>
      </c>
      <c r="N23" s="107">
        <f>IF(H23=Year_Open_to_Traffic?,Calculations!$E$4,N22+(N22*I23))</f>
        <v>0</v>
      </c>
      <c r="O23" s="107">
        <f>IF(AND(H23&gt;=Year_Open_to_Traffic?, Calculations!H23&lt;Year_Open_to_Traffic?+'Inputs &amp; Outputs'!C$20), 1, 0)</f>
        <v>1</v>
      </c>
      <c r="P23" s="108">
        <f t="shared" si="1"/>
        <v>9173.593432495356</v>
      </c>
      <c r="Q23" s="109">
        <f t="shared" si="2"/>
        <v>1</v>
      </c>
      <c r="R23" s="110">
        <f>'Value of Travel Time'!$D$20*(1+Real_wage_growth_rate)^(H23-Base_Year)</f>
        <v>52.434938286189016</v>
      </c>
      <c r="S23" s="111">
        <f t="shared" si="3"/>
        <v>668.61335963872125</v>
      </c>
      <c r="T23" s="112">
        <f t="shared" si="4"/>
        <v>226.48247745865427</v>
      </c>
      <c r="W23" s="121"/>
    </row>
    <row r="24" spans="8:23" x14ac:dyDescent="0.35">
      <c r="H24" s="103">
        <f t="shared" si="5"/>
        <v>2038</v>
      </c>
      <c r="I24" s="104">
        <f t="shared" si="11"/>
        <v>5.2999999999999999E-2</v>
      </c>
      <c r="J24" s="116">
        <f t="shared" si="10"/>
        <v>1</v>
      </c>
      <c r="K24" s="117">
        <f t="shared" si="0"/>
        <v>1</v>
      </c>
      <c r="L24" s="118">
        <f t="shared" si="8"/>
        <v>2809.1014486271788</v>
      </c>
      <c r="M24" s="107">
        <f t="shared" si="9"/>
        <v>9659.7938844176097</v>
      </c>
      <c r="N24" s="107">
        <f>IF(H24=Year_Open_to_Traffic?,Calculations!$E$4,N23+(N23*I24))</f>
        <v>0</v>
      </c>
      <c r="O24" s="107">
        <f>IF(AND(H24&gt;=Year_Open_to_Traffic?, Calculations!H24&lt;Year_Open_to_Traffic?+'Inputs &amp; Outputs'!C$20), 1, 0)</f>
        <v>1</v>
      </c>
      <c r="P24" s="108">
        <f t="shared" si="1"/>
        <v>9659.7938844176097</v>
      </c>
      <c r="Q24" s="109">
        <f t="shared" si="2"/>
        <v>1</v>
      </c>
      <c r="R24" s="110">
        <f>'Value of Travel Time'!$D$20*(1+Real_wage_growth_rate)^(H24-Base_Year)</f>
        <v>54.007986434774686</v>
      </c>
      <c r="S24" s="111">
        <f t="shared" si="3"/>
        <v>725.17136373056053</v>
      </c>
      <c r="T24" s="112">
        <f t="shared" si="4"/>
        <v>229.57068245502973</v>
      </c>
      <c r="W24" s="121"/>
    </row>
    <row r="25" spans="8:23" x14ac:dyDescent="0.35">
      <c r="H25" s="115">
        <f t="shared" si="5"/>
        <v>2039</v>
      </c>
      <c r="I25" s="104">
        <f t="shared" si="11"/>
        <v>5.2999999999999999E-2</v>
      </c>
      <c r="J25" s="116">
        <f t="shared" si="10"/>
        <v>1</v>
      </c>
      <c r="K25" s="117">
        <f t="shared" si="0"/>
        <v>1</v>
      </c>
      <c r="L25" s="118">
        <f t="shared" si="8"/>
        <v>2957.9838254044193</v>
      </c>
      <c r="M25" s="107">
        <f t="shared" si="9"/>
        <v>10171.762960291742</v>
      </c>
      <c r="N25" s="107">
        <f>IF(H25=Year_Open_to_Traffic?,Calculations!$E$4,N24+(N24*I25))</f>
        <v>0</v>
      </c>
      <c r="O25" s="107">
        <f>IF(AND(H25&gt;=Year_Open_to_Traffic?, Calculations!H25&lt;Year_Open_to_Traffic?+'Inputs &amp; Outputs'!C$20), 1, 0)</f>
        <v>1</v>
      </c>
      <c r="P25" s="108">
        <f t="shared" si="1"/>
        <v>10171.762960291742</v>
      </c>
      <c r="Q25" s="109">
        <f t="shared" si="2"/>
        <v>1</v>
      </c>
      <c r="R25" s="110">
        <f>'Value of Travel Time'!$D$20*(1+Real_wage_growth_rate)^(H25-Base_Year)</f>
        <v>55.628226027817931</v>
      </c>
      <c r="S25" s="111">
        <f t="shared" si="3"/>
        <v>786.51360938852861</v>
      </c>
      <c r="T25" s="112">
        <f t="shared" si="4"/>
        <v>232.70099671392586</v>
      </c>
      <c r="W25" s="121"/>
    </row>
    <row r="26" spans="8:23" x14ac:dyDescent="0.35">
      <c r="H26" s="103">
        <f t="shared" si="5"/>
        <v>2040</v>
      </c>
      <c r="I26" s="104">
        <f t="shared" si="11"/>
        <v>5.2999999999999999E-2</v>
      </c>
      <c r="J26" s="116">
        <f t="shared" si="10"/>
        <v>1</v>
      </c>
      <c r="K26" s="117">
        <f t="shared" si="0"/>
        <v>1</v>
      </c>
      <c r="L26" s="118">
        <f t="shared" si="8"/>
        <v>3114.7569681508535</v>
      </c>
      <c r="M26" s="107">
        <f t="shared" si="9"/>
        <v>10710.866397187205</v>
      </c>
      <c r="N26" s="107">
        <f>IF(H26=Year_Open_to_Traffic?,Calculations!$E$4,N25+(N25*I26))</f>
        <v>0</v>
      </c>
      <c r="O26" s="107">
        <f>IF(AND(H26&gt;=Year_Open_to_Traffic?, Calculations!H26&lt;Year_Open_to_Traffic?+'Inputs &amp; Outputs'!C$20), 1, 0)</f>
        <v>1</v>
      </c>
      <c r="P26" s="108">
        <f t="shared" si="1"/>
        <v>10710.866397187205</v>
      </c>
      <c r="Q26" s="109">
        <f t="shared" si="2"/>
        <v>1</v>
      </c>
      <c r="R26" s="110">
        <f>'Value of Travel Time'!$D$20*(1+Real_wage_growth_rate)^(H26-Base_Year)</f>
        <v>57.297072808652466</v>
      </c>
      <c r="S26" s="111">
        <f t="shared" si="3"/>
        <v>853.04479560670416</v>
      </c>
      <c r="T26" s="112">
        <f t="shared" si="4"/>
        <v>235.87399441678207</v>
      </c>
      <c r="W26" s="121"/>
    </row>
    <row r="27" spans="8:23" x14ac:dyDescent="0.35">
      <c r="H27" s="115">
        <f t="shared" si="5"/>
        <v>2041</v>
      </c>
      <c r="I27" s="104">
        <f t="shared" si="11"/>
        <v>5.2999999999999999E-2</v>
      </c>
      <c r="J27" s="116">
        <f t="shared" si="10"/>
        <v>1</v>
      </c>
      <c r="K27" s="117">
        <f t="shared" si="0"/>
        <v>1</v>
      </c>
      <c r="L27" s="118">
        <f t="shared" si="8"/>
        <v>3279.8390874628485</v>
      </c>
      <c r="M27" s="107">
        <f t="shared" si="9"/>
        <v>11278.542316238127</v>
      </c>
      <c r="N27" s="107">
        <f>IF(H27=Year_Open_to_Traffic?,Calculations!$E$4,N26+(N26*I27))</f>
        <v>0</v>
      </c>
      <c r="O27" s="107">
        <f>IF(AND(H27&gt;=Year_Open_to_Traffic?, Calculations!H27&lt;Year_Open_to_Traffic?+'Inputs &amp; Outputs'!C$20), 1, 0)</f>
        <v>1</v>
      </c>
      <c r="P27" s="108">
        <f t="shared" si="1"/>
        <v>11278.542316238127</v>
      </c>
      <c r="Q27" s="109">
        <f t="shared" si="2"/>
        <v>1</v>
      </c>
      <c r="R27" s="110">
        <f>'Value of Travel Time'!$D$20*(1+Real_wage_growth_rate)^(H27-Base_Year)</f>
        <v>59.015984992912038</v>
      </c>
      <c r="S27" s="111">
        <f t="shared" si="3"/>
        <v>925.20385486707539</v>
      </c>
      <c r="T27" s="112">
        <f t="shared" si="4"/>
        <v>239.09025757429691</v>
      </c>
      <c r="W27" s="121"/>
    </row>
    <row r="28" spans="8:23" x14ac:dyDescent="0.35">
      <c r="H28" s="103">
        <f t="shared" si="5"/>
        <v>2042</v>
      </c>
      <c r="I28" s="104">
        <f t="shared" si="11"/>
        <v>5.2999999999999999E-2</v>
      </c>
      <c r="J28" s="116">
        <f t="shared" si="10"/>
        <v>1</v>
      </c>
      <c r="K28" s="117">
        <f t="shared" si="0"/>
        <v>1</v>
      </c>
      <c r="L28" s="118">
        <f t="shared" si="8"/>
        <v>3453.6705590983793</v>
      </c>
      <c r="M28" s="107">
        <f t="shared" si="9"/>
        <v>11876.305058998747</v>
      </c>
      <c r="N28" s="107">
        <f>IF(H28=Year_Open_to_Traffic?,Calculations!$E$4,N27+(N27*I28))</f>
        <v>0</v>
      </c>
      <c r="O28" s="107">
        <f>IF(AND(H28&gt;=Year_Open_to_Traffic?, Calculations!H28&lt;Year_Open_to_Traffic?+'Inputs &amp; Outputs'!C$20), 1, 0)</f>
        <v>1</v>
      </c>
      <c r="P28" s="108">
        <f t="shared" si="1"/>
        <v>11876.305058998747</v>
      </c>
      <c r="Q28" s="109">
        <f t="shared" si="2"/>
        <v>1</v>
      </c>
      <c r="R28" s="110">
        <f>'Value of Travel Time'!$D$20*(1+Real_wage_growth_rate)^(H28-Base_Year)</f>
        <v>60.786464542699392</v>
      </c>
      <c r="S28" s="111">
        <f t="shared" si="3"/>
        <v>1003.4668489502811</v>
      </c>
      <c r="T28" s="112">
        <f t="shared" si="4"/>
        <v>242.35037613318377</v>
      </c>
      <c r="W28" s="121"/>
    </row>
    <row r="29" spans="8:23" x14ac:dyDescent="0.35">
      <c r="H29" s="115">
        <f t="shared" si="5"/>
        <v>2043</v>
      </c>
      <c r="I29" s="104">
        <f t="shared" si="11"/>
        <v>5.2999999999999999E-2</v>
      </c>
      <c r="J29" s="116">
        <f t="shared" si="10"/>
        <v>1</v>
      </c>
      <c r="K29" s="117">
        <f t="shared" si="0"/>
        <v>1</v>
      </c>
      <c r="L29" s="118">
        <f t="shared" si="8"/>
        <v>3636.7150987305931</v>
      </c>
      <c r="M29" s="107">
        <f t="shared" si="9"/>
        <v>12505.749227125682</v>
      </c>
      <c r="N29" s="107">
        <f>IF(H29=Year_Open_to_Traffic?,Calculations!$E$4,N28+(N28*I29))</f>
        <v>0</v>
      </c>
      <c r="O29" s="107">
        <f>IF(AND(H29&gt;=Year_Open_to_Traffic?, Calculations!H29&lt;Year_Open_to_Traffic?+'Inputs &amp; Outputs'!C$20), 1, 0)</f>
        <v>1</v>
      </c>
      <c r="P29" s="108">
        <f t="shared" si="1"/>
        <v>12505.749227125682</v>
      </c>
      <c r="Q29" s="109">
        <f t="shared" si="2"/>
        <v>1</v>
      </c>
      <c r="R29" s="110">
        <f>'Value of Travel Time'!$D$20*(1+Real_wage_growth_rate)^(H29-Base_Year)</f>
        <v>62.610058478980378</v>
      </c>
      <c r="S29" s="111">
        <f t="shared" si="3"/>
        <v>1088.3501097029855</v>
      </c>
      <c r="T29" s="112">
        <f t="shared" si="4"/>
        <v>245.65494808438299</v>
      </c>
      <c r="W29" s="121"/>
    </row>
    <row r="30" spans="8:23" x14ac:dyDescent="0.35">
      <c r="H30" s="115">
        <f t="shared" si="5"/>
        <v>2044</v>
      </c>
      <c r="I30" s="104">
        <f t="shared" si="11"/>
        <v>5.2999999999999999E-2</v>
      </c>
      <c r="J30" s="116">
        <f t="shared" si="10"/>
        <v>1</v>
      </c>
      <c r="K30" s="117">
        <f t="shared" si="0"/>
        <v>1</v>
      </c>
      <c r="L30" s="118">
        <f t="shared" si="8"/>
        <v>3829.4609989633145</v>
      </c>
      <c r="M30" s="107">
        <f t="shared" si="9"/>
        <v>13168.553936163342</v>
      </c>
      <c r="N30" s="107">
        <f>IF(H30=Year_Open_to_Traffic?,Calculations!$E$4,N29+(N29*I30))</f>
        <v>0</v>
      </c>
      <c r="O30" s="107">
        <f>IF(AND(H30&gt;=Year_Open_to_Traffic?, Calculations!H30&lt;Year_Open_to_Traffic?+'Inputs &amp; Outputs'!C$20), 1, 0)</f>
        <v>1</v>
      </c>
      <c r="P30" s="108">
        <f t="shared" si="1"/>
        <v>13168.553936163342</v>
      </c>
      <c r="Q30" s="109">
        <f t="shared" si="2"/>
        <v>1</v>
      </c>
      <c r="R30" s="110">
        <f>'Value of Travel Time'!$D$20*(1+Real_wage_growth_rate)^(H30-Base_Year)</f>
        <v>64.488360233349795</v>
      </c>
      <c r="S30" s="111">
        <f t="shared" si="3"/>
        <v>1180.413645482761</v>
      </c>
      <c r="T30" s="112">
        <f t="shared" si="4"/>
        <v>249.00457957274855</v>
      </c>
      <c r="W30" s="121"/>
    </row>
    <row r="31" spans="8:23" x14ac:dyDescent="0.35">
      <c r="H31" s="115">
        <f t="shared" si="5"/>
        <v>2045</v>
      </c>
      <c r="I31" s="104">
        <f t="shared" si="11"/>
        <v>5.2999999999999999E-2</v>
      </c>
      <c r="J31" s="116">
        <f t="shared" si="10"/>
        <v>1</v>
      </c>
      <c r="K31" s="117">
        <f t="shared" si="0"/>
        <v>1</v>
      </c>
      <c r="L31" s="118">
        <f t="shared" si="8"/>
        <v>4032.4224319083701</v>
      </c>
      <c r="M31" s="107">
        <f t="shared" si="9"/>
        <v>13866.48729478</v>
      </c>
      <c r="N31" s="107">
        <f>IF(H31=Year_Open_to_Traffic?,Calculations!$E$4,N30+(N30*I31))</f>
        <v>0</v>
      </c>
      <c r="O31" s="107">
        <f>IF(AND(H31&gt;=Year_Open_to_Traffic?, Calculations!H31&lt;Year_Open_to_Traffic?+'Inputs &amp; Outputs'!C$20), 1, 0)</f>
        <v>1</v>
      </c>
      <c r="P31" s="108">
        <f t="shared" si="1"/>
        <v>13866.48729478</v>
      </c>
      <c r="Q31" s="109">
        <f t="shared" si="2"/>
        <v>1</v>
      </c>
      <c r="R31" s="110">
        <f>'Value of Travel Time'!$D$20*(1+Real_wage_growth_rate)^(H31-Base_Year)</f>
        <v>66.423011040350275</v>
      </c>
      <c r="S31" s="111">
        <f t="shared" si="3"/>
        <v>1280.2648357541477</v>
      </c>
      <c r="T31" s="112">
        <f t="shared" si="4"/>
        <v>252.39988500823117</v>
      </c>
      <c r="W31" s="121"/>
    </row>
    <row r="32" spans="8:23" x14ac:dyDescent="0.35">
      <c r="H32" s="115">
        <f t="shared" si="5"/>
        <v>2046</v>
      </c>
      <c r="I32" s="104">
        <f t="shared" si="11"/>
        <v>5.2999999999999999E-2</v>
      </c>
      <c r="J32" s="116">
        <f t="shared" si="10"/>
        <v>1</v>
      </c>
      <c r="K32" s="117">
        <f t="shared" si="0"/>
        <v>1</v>
      </c>
      <c r="L32" s="118">
        <f t="shared" si="8"/>
        <v>4246.1408207995137</v>
      </c>
      <c r="M32" s="107">
        <f t="shared" si="9"/>
        <v>14601.41112140334</v>
      </c>
      <c r="N32" s="107">
        <f>IF(H32=Year_Open_to_Traffic?,Calculations!$E$4,N31+(N31*I32))</f>
        <v>0</v>
      </c>
      <c r="O32" s="107">
        <f>IF(AND(H32&gt;=Year_Open_to_Traffic?, Calculations!H32&lt;Year_Open_to_Traffic?+'Inputs &amp; Outputs'!C$20), 1, 0)</f>
        <v>0</v>
      </c>
      <c r="P32" s="108">
        <f t="shared" si="1"/>
        <v>0</v>
      </c>
      <c r="Q32" s="109">
        <f t="shared" si="2"/>
        <v>0</v>
      </c>
      <c r="R32" s="110">
        <f>'Value of Travel Time'!$D$20*(1+Real_wage_growth_rate)^(H32-Base_Year)</f>
        <v>68.415701371560786</v>
      </c>
      <c r="S32" s="111">
        <f t="shared" si="3"/>
        <v>0</v>
      </c>
      <c r="T32" s="112">
        <f t="shared" si="4"/>
        <v>0</v>
      </c>
      <c r="W32" s="121"/>
    </row>
    <row r="33" spans="8:23" x14ac:dyDescent="0.35">
      <c r="H33" s="115">
        <f t="shared" si="5"/>
        <v>2047</v>
      </c>
      <c r="I33" s="104">
        <f t="shared" si="11"/>
        <v>5.2999999999999999E-2</v>
      </c>
      <c r="J33" s="116">
        <f t="shared" si="10"/>
        <v>1</v>
      </c>
      <c r="K33" s="117">
        <f t="shared" si="0"/>
        <v>1</v>
      </c>
      <c r="L33" s="118">
        <f t="shared" si="8"/>
        <v>4471.186284301888</v>
      </c>
      <c r="M33" s="107">
        <f t="shared" si="9"/>
        <v>15375.285910837718</v>
      </c>
      <c r="N33" s="107">
        <f>IF(H33=Year_Open_to_Traffic?,Calculations!$E$4,N32+(N32*I33))</f>
        <v>0</v>
      </c>
      <c r="O33" s="107">
        <f>IF(AND(H33&gt;=Year_Open_to_Traffic?, Calculations!H33&lt;Year_Open_to_Traffic?+'Inputs &amp; Outputs'!C$20), 1, 0)</f>
        <v>0</v>
      </c>
      <c r="P33" s="108">
        <f t="shared" si="1"/>
        <v>0</v>
      </c>
      <c r="Q33" s="109">
        <f t="shared" si="2"/>
        <v>0</v>
      </c>
      <c r="R33" s="110">
        <f>'Value of Travel Time'!$D$20*(1+Real_wage_growth_rate)^(H33-Base_Year)</f>
        <v>70.468172412707617</v>
      </c>
      <c r="S33" s="111">
        <f t="shared" si="3"/>
        <v>0</v>
      </c>
      <c r="T33" s="112">
        <f t="shared" si="4"/>
        <v>0</v>
      </c>
      <c r="W33" s="121"/>
    </row>
    <row r="34" spans="8:23" x14ac:dyDescent="0.35">
      <c r="H34" s="115">
        <f t="shared" si="5"/>
        <v>2048</v>
      </c>
      <c r="I34" s="104">
        <f t="shared" si="11"/>
        <v>5.2999999999999999E-2</v>
      </c>
      <c r="J34" s="116">
        <f t="shared" si="10"/>
        <v>1</v>
      </c>
      <c r="K34" s="117">
        <f t="shared" si="0"/>
        <v>1</v>
      </c>
      <c r="L34" s="118">
        <f t="shared" si="8"/>
        <v>4708.1591573698879</v>
      </c>
      <c r="M34" s="107">
        <f t="shared" si="9"/>
        <v>16190.176064112116</v>
      </c>
      <c r="N34" s="107">
        <f>IF(H34=Year_Open_to_Traffic?,Calculations!$E$4,N33+(N33*I34))</f>
        <v>0</v>
      </c>
      <c r="O34" s="107">
        <f>IF(AND(H34&gt;=Year_Open_to_Traffic?, Calculations!H34&lt;Year_Open_to_Traffic?+'Inputs &amp; Outputs'!C$20), 1, 0)</f>
        <v>0</v>
      </c>
      <c r="P34" s="108">
        <f t="shared" si="1"/>
        <v>0</v>
      </c>
      <c r="Q34" s="109">
        <f t="shared" si="2"/>
        <v>0</v>
      </c>
      <c r="R34" s="110">
        <f>'Value of Travel Time'!$D$20*(1+Real_wage_growth_rate)^(H34-Base_Year)</f>
        <v>72.582217585088841</v>
      </c>
      <c r="S34" s="111">
        <f t="shared" si="3"/>
        <v>0</v>
      </c>
      <c r="T34" s="112">
        <f t="shared" si="4"/>
        <v>0</v>
      </c>
      <c r="W34" s="121"/>
    </row>
    <row r="35" spans="8:23" x14ac:dyDescent="0.35">
      <c r="H35" s="115">
        <f t="shared" si="5"/>
        <v>2049</v>
      </c>
      <c r="I35" s="104">
        <f t="shared" si="11"/>
        <v>5.2999999999999999E-2</v>
      </c>
      <c r="J35" s="116">
        <f t="shared" si="10"/>
        <v>1</v>
      </c>
      <c r="K35" s="117">
        <f t="shared" si="0"/>
        <v>1</v>
      </c>
      <c r="L35" s="118">
        <f t="shared" si="8"/>
        <v>4957.6915927104919</v>
      </c>
      <c r="M35" s="107">
        <f t="shared" si="9"/>
        <v>17048.255395510059</v>
      </c>
      <c r="N35" s="107">
        <f>IF(H35=Year_Open_to_Traffic?,Calculations!$E$4,N34+(N34*I35))</f>
        <v>0</v>
      </c>
      <c r="O35" s="107">
        <f>IF(AND(H35&gt;=Year_Open_to_Traffic?, Calculations!H35&lt;Year_Open_to_Traffic?+'Inputs &amp; Outputs'!C$20), 1, 0)</f>
        <v>0</v>
      </c>
      <c r="P35" s="108">
        <f t="shared" si="1"/>
        <v>0</v>
      </c>
      <c r="Q35" s="109">
        <f t="shared" si="2"/>
        <v>0</v>
      </c>
      <c r="R35" s="110">
        <f>'Value of Travel Time'!$D$20*(1+Real_wage_growth_rate)^(H35-Base_Year)</f>
        <v>74.759684112641509</v>
      </c>
      <c r="S35" s="111">
        <f t="shared" si="3"/>
        <v>0</v>
      </c>
      <c r="T35" s="112">
        <f t="shared" si="4"/>
        <v>0</v>
      </c>
      <c r="W35" s="121"/>
    </row>
    <row r="36" spans="8:23" x14ac:dyDescent="0.35">
      <c r="H36" s="115">
        <f t="shared" si="5"/>
        <v>2050</v>
      </c>
      <c r="I36" s="104">
        <f t="shared" si="11"/>
        <v>5.2999999999999999E-2</v>
      </c>
      <c r="J36" s="116">
        <f t="shared" si="10"/>
        <v>1</v>
      </c>
      <c r="K36" s="117">
        <f t="shared" si="0"/>
        <v>1</v>
      </c>
      <c r="L36" s="118">
        <f t="shared" si="8"/>
        <v>5220.4492471241483</v>
      </c>
      <c r="M36" s="107">
        <f t="shared" si="9"/>
        <v>17951.812931472094</v>
      </c>
      <c r="N36" s="107">
        <f>IF(H36=Year_Open_to_Traffic?,Calculations!$E$4,N35+(N35*I36))</f>
        <v>0</v>
      </c>
      <c r="O36" s="107">
        <f>IF(AND(H36&gt;=Year_Open_to_Traffic?, Calculations!H36&lt;Year_Open_to_Traffic?+'Inputs &amp; Outputs'!C$20), 1, 0)</f>
        <v>0</v>
      </c>
      <c r="P36" s="108">
        <f t="shared" si="1"/>
        <v>0</v>
      </c>
      <c r="Q36" s="109">
        <f t="shared" si="2"/>
        <v>0</v>
      </c>
      <c r="R36" s="110">
        <f>'Value of Travel Time'!$D$20*(1+Real_wage_growth_rate)^(H36-Base_Year)</f>
        <v>77.002474636020736</v>
      </c>
      <c r="S36" s="111">
        <f t="shared" si="3"/>
        <v>0</v>
      </c>
      <c r="T36" s="112">
        <f t="shared" si="4"/>
        <v>0</v>
      </c>
      <c r="W36" s="121"/>
    </row>
    <row r="37" spans="8:23" x14ac:dyDescent="0.35">
      <c r="H37" s="124"/>
      <c r="I37" s="125"/>
      <c r="J37" s="126"/>
      <c r="K37" s="124"/>
      <c r="L37" s="124"/>
      <c r="M37" s="124"/>
      <c r="N37" s="124"/>
      <c r="O37" s="124"/>
      <c r="P37" s="124"/>
      <c r="Q37" s="124"/>
      <c r="R37" s="124"/>
      <c r="S37" s="127">
        <f>SUM(Value_of_Delay_Savings__2020_____000s)</f>
        <v>14072.23110392548</v>
      </c>
      <c r="T37" s="112">
        <f>SUM(T4:T36)</f>
        <v>5045.5279026856188</v>
      </c>
      <c r="W37" s="121"/>
    </row>
    <row r="38" spans="8:23" x14ac:dyDescent="0.35">
      <c r="T38" s="169"/>
    </row>
  </sheetData>
  <sheetProtection selectLockedCells="1" selectUnlockedCells="1"/>
  <mergeCells count="2">
    <mergeCell ref="A11:B11"/>
    <mergeCell ref="A16:B16"/>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topLeftCell="A13" zoomScale="160" zoomScaleNormal="160" workbookViewId="0">
      <selection activeCell="C10" sqref="C10"/>
    </sheetView>
  </sheetViews>
  <sheetFormatPr defaultRowHeight="14.5" x14ac:dyDescent="0.35"/>
  <cols>
    <col min="1" max="1" width="3.453125" customWidth="1"/>
    <col min="2" max="2" width="62.453125" bestFit="1" customWidth="1"/>
    <col min="3" max="3" width="22.6328125" bestFit="1" customWidth="1"/>
    <col min="4" max="4" width="20" bestFit="1" customWidth="1"/>
  </cols>
  <sheetData>
    <row r="2" spans="2:3" x14ac:dyDescent="0.35">
      <c r="B2" s="1" t="s">
        <v>186</v>
      </c>
    </row>
    <row r="4" spans="2:3" x14ac:dyDescent="0.35">
      <c r="B4" s="1" t="s">
        <v>32</v>
      </c>
    </row>
    <row r="5" spans="2:3" x14ac:dyDescent="0.35">
      <c r="B5" s="26" t="s">
        <v>34</v>
      </c>
      <c r="C5" s="26">
        <v>2021</v>
      </c>
    </row>
    <row r="6" spans="2:3" x14ac:dyDescent="0.35">
      <c r="B6" s="26" t="s">
        <v>35</v>
      </c>
      <c r="C6" s="40">
        <v>7.0000000000000007E-2</v>
      </c>
    </row>
    <row r="7" spans="2:3" x14ac:dyDescent="0.35">
      <c r="C7" s="25"/>
    </row>
    <row r="8" spans="2:3" x14ac:dyDescent="0.35">
      <c r="B8" s="1" t="s">
        <v>33</v>
      </c>
      <c r="C8" s="25"/>
    </row>
    <row r="9" spans="2:3" x14ac:dyDescent="0.35">
      <c r="B9" s="26" t="s">
        <v>187</v>
      </c>
      <c r="C9" s="27">
        <f>'Value of Travel Time'!D20</f>
        <v>32.675719999999998</v>
      </c>
    </row>
    <row r="10" spans="2:3" x14ac:dyDescent="0.35">
      <c r="B10" s="41" t="s">
        <v>188</v>
      </c>
      <c r="C10" s="42">
        <v>0.03</v>
      </c>
    </row>
  </sheetData>
  <sheetProtection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J21"/>
  <sheetViews>
    <sheetView topLeftCell="A13" zoomScale="160" zoomScaleNormal="160" workbookViewId="0">
      <selection activeCell="D20" sqref="D20"/>
    </sheetView>
  </sheetViews>
  <sheetFormatPr defaultRowHeight="14.5" x14ac:dyDescent="0.35"/>
  <cols>
    <col min="2" max="2" width="21.08984375" customWidth="1"/>
    <col min="3" max="3" width="22.453125" bestFit="1" customWidth="1"/>
    <col min="4" max="4" width="23.08984375" bestFit="1" customWidth="1"/>
    <col min="5" max="5" width="14" customWidth="1"/>
    <col min="7" max="7" width="10.08984375" bestFit="1" customWidth="1"/>
  </cols>
  <sheetData>
    <row r="2" spans="2:8" hidden="1" x14ac:dyDescent="0.35">
      <c r="B2" s="2" t="s">
        <v>205</v>
      </c>
    </row>
    <row r="3" spans="2:8" hidden="1" x14ac:dyDescent="0.35">
      <c r="B3" s="2"/>
    </row>
    <row r="4" spans="2:8" hidden="1" x14ac:dyDescent="0.35">
      <c r="B4" t="s">
        <v>0</v>
      </c>
      <c r="C4" t="s">
        <v>1</v>
      </c>
      <c r="D4" s="43">
        <v>3006841</v>
      </c>
      <c r="E4" s="44">
        <f>D4/D$12</f>
        <v>0.12557431780451911</v>
      </c>
      <c r="G4" t="s">
        <v>2</v>
      </c>
      <c r="H4" s="44">
        <f>SUMIF($C$4:$C$11,G4,$E$4:$E$11)</f>
        <v>0.75146889419806362</v>
      </c>
    </row>
    <row r="5" spans="2:8" hidden="1" x14ac:dyDescent="0.35">
      <c r="B5" t="s">
        <v>0</v>
      </c>
      <c r="C5" t="s">
        <v>2</v>
      </c>
      <c r="D5" s="43">
        <v>12248090</v>
      </c>
      <c r="E5" s="44">
        <f t="shared" ref="E5:E12" si="0">D5/D$12</f>
        <v>0.51151542304975628</v>
      </c>
      <c r="G5" t="s">
        <v>1</v>
      </c>
      <c r="H5" s="44">
        <f>SUMIF($C$4:$C$11,G5,$E$4:$E$11)</f>
        <v>0.21391573997984439</v>
      </c>
    </row>
    <row r="6" spans="2:8" hidden="1" x14ac:dyDescent="0.35">
      <c r="B6" t="s">
        <v>3</v>
      </c>
      <c r="C6" t="s">
        <v>1</v>
      </c>
      <c r="D6" s="43">
        <v>2053465</v>
      </c>
      <c r="E6" s="44">
        <f t="shared" si="0"/>
        <v>8.5758597315407373E-2</v>
      </c>
      <c r="G6" t="s">
        <v>4</v>
      </c>
      <c r="H6" s="44">
        <f>SUMIF($C$4:$C$11,G6,$E$4:$E$11)</f>
        <v>3.4615365822091917E-2</v>
      </c>
    </row>
    <row r="7" spans="2:8" hidden="1" x14ac:dyDescent="0.35">
      <c r="B7" t="s">
        <v>3</v>
      </c>
      <c r="C7" t="s">
        <v>2</v>
      </c>
      <c r="D7" s="43">
        <v>5512163</v>
      </c>
      <c r="E7" s="44">
        <f t="shared" si="0"/>
        <v>0.23020376147335739</v>
      </c>
      <c r="H7" s="44">
        <f>SUM(H4:H6)</f>
        <v>0.99999999999999989</v>
      </c>
    </row>
    <row r="8" spans="2:8" hidden="1" x14ac:dyDescent="0.35">
      <c r="B8" t="s">
        <v>56</v>
      </c>
      <c r="C8" t="s">
        <v>4</v>
      </c>
      <c r="D8" s="43">
        <v>108311</v>
      </c>
      <c r="E8" s="44">
        <f t="shared" si="0"/>
        <v>4.5233785011330055E-3</v>
      </c>
    </row>
    <row r="9" spans="2:8" hidden="1" x14ac:dyDescent="0.35">
      <c r="B9" t="s">
        <v>57</v>
      </c>
      <c r="C9" t="s">
        <v>4</v>
      </c>
      <c r="D9" s="43">
        <v>720544</v>
      </c>
      <c r="E9" s="44">
        <f t="shared" si="0"/>
        <v>3.0091987320958909E-2</v>
      </c>
    </row>
    <row r="10" spans="2:8" hidden="1" x14ac:dyDescent="0.35">
      <c r="B10" t="s">
        <v>5</v>
      </c>
      <c r="C10" t="s">
        <v>1</v>
      </c>
      <c r="D10" s="43">
        <v>61845</v>
      </c>
      <c r="E10" s="44">
        <f t="shared" si="0"/>
        <v>2.5828248599179286E-3</v>
      </c>
    </row>
    <row r="11" spans="2:8" hidden="1" x14ac:dyDescent="0.35">
      <c r="B11" t="s">
        <v>6</v>
      </c>
      <c r="C11" t="s">
        <v>2</v>
      </c>
      <c r="D11" s="43">
        <v>233454</v>
      </c>
      <c r="E11" s="44">
        <f t="shared" si="0"/>
        <v>9.7497096749499558E-3</v>
      </c>
    </row>
    <row r="12" spans="2:8" hidden="1" x14ac:dyDescent="0.35">
      <c r="D12" s="45">
        <f>SUM(D4:D11)</f>
        <v>23944713</v>
      </c>
      <c r="E12" s="44">
        <f t="shared" si="0"/>
        <v>1</v>
      </c>
    </row>
    <row r="15" spans="2:8" x14ac:dyDescent="0.35">
      <c r="B15" s="2" t="s">
        <v>233</v>
      </c>
    </row>
    <row r="17" spans="2:10" x14ac:dyDescent="0.35">
      <c r="C17" s="46" t="s">
        <v>189</v>
      </c>
      <c r="D17" s="46" t="s">
        <v>190</v>
      </c>
      <c r="E17" s="46"/>
    </row>
    <row r="18" spans="2:10" x14ac:dyDescent="0.35">
      <c r="B18" s="47" t="s">
        <v>7</v>
      </c>
      <c r="C18" s="48">
        <v>16.5</v>
      </c>
      <c r="D18" s="49">
        <f>C18*(1+'Assumed Values'!$C$10)^(2021-2019)</f>
        <v>17.504849999999998</v>
      </c>
      <c r="E18" s="49"/>
      <c r="J18" s="49"/>
    </row>
    <row r="19" spans="2:10" x14ac:dyDescent="0.35">
      <c r="B19" s="47" t="s">
        <v>8</v>
      </c>
      <c r="C19" s="48">
        <v>27.9</v>
      </c>
      <c r="D19" s="49">
        <f>C19*(1+'Assumed Values'!$C$10)^(2021-2019)</f>
        <v>29.599109999999996</v>
      </c>
      <c r="E19" s="49"/>
      <c r="J19" s="49"/>
    </row>
    <row r="20" spans="2:10" x14ac:dyDescent="0.35">
      <c r="B20" s="47" t="s">
        <v>4</v>
      </c>
      <c r="C20" s="48">
        <v>30.8</v>
      </c>
      <c r="D20" s="145">
        <f>C20*(1+'Assumed Values'!$C$10)^(2021-2019)</f>
        <v>32.675719999999998</v>
      </c>
      <c r="E20" s="49" t="s">
        <v>234</v>
      </c>
      <c r="J20" s="49"/>
    </row>
    <row r="21" spans="2:10" x14ac:dyDescent="0.35">
      <c r="B21" s="3" t="s">
        <v>9</v>
      </c>
      <c r="C21" s="4">
        <f>ROUND(SUMPRODUCT(C18:C20,H4:H6),2)</f>
        <v>19.43</v>
      </c>
      <c r="D21" s="60">
        <f>C21*(1+'Assumed Values'!$C$10)^(2021-2019)</f>
        <v>20.613287</v>
      </c>
      <c r="E21" s="49"/>
      <c r="I21" s="57"/>
      <c r="J21" s="57"/>
    </row>
  </sheetData>
  <sheetProtection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P81"/>
  <sheetViews>
    <sheetView topLeftCell="A22" zoomScale="145" zoomScaleNormal="145" workbookViewId="0">
      <selection activeCell="C6" sqref="C6"/>
    </sheetView>
  </sheetViews>
  <sheetFormatPr defaultRowHeight="14.5" x14ac:dyDescent="0.35"/>
  <cols>
    <col min="2" max="2" width="51.90625" bestFit="1" customWidth="1"/>
    <col min="3" max="3" width="25.08984375" bestFit="1" customWidth="1"/>
    <col min="4" max="7" width="10.81640625" hidden="1" customWidth="1"/>
    <col min="8" max="8" width="23.36328125" customWidth="1"/>
    <col min="9" max="9" width="12.453125" bestFit="1" customWidth="1"/>
    <col min="11" max="12" width="12.90625" customWidth="1"/>
    <col min="16" max="16" width="25" customWidth="1"/>
  </cols>
  <sheetData>
    <row r="2" spans="2:16" x14ac:dyDescent="0.35">
      <c r="B2" s="155" t="s">
        <v>166</v>
      </c>
      <c r="C2" s="155"/>
      <c r="D2" s="155"/>
      <c r="E2" s="155"/>
      <c r="F2" s="155"/>
      <c r="G2" s="155"/>
      <c r="H2" s="155"/>
      <c r="I2" s="155"/>
    </row>
    <row r="3" spans="2:16" x14ac:dyDescent="0.35">
      <c r="B3" s="156" t="s">
        <v>185</v>
      </c>
      <c r="C3" s="156"/>
    </row>
    <row r="4" spans="2:16" ht="58" x14ac:dyDescent="0.35">
      <c r="B4" s="50" t="s">
        <v>167</v>
      </c>
      <c r="C4" s="50" t="s">
        <v>208</v>
      </c>
      <c r="D4" s="56" t="s">
        <v>170</v>
      </c>
      <c r="E4" s="50" t="s">
        <v>171</v>
      </c>
      <c r="F4" s="50" t="s">
        <v>168</v>
      </c>
      <c r="G4" s="52" t="s">
        <v>169</v>
      </c>
      <c r="H4" s="131"/>
      <c r="L4" s="50" t="s">
        <v>79</v>
      </c>
      <c r="N4" s="50" t="s">
        <v>179</v>
      </c>
      <c r="P4" s="50" t="s">
        <v>193</v>
      </c>
    </row>
    <row r="5" spans="2:16" x14ac:dyDescent="0.35">
      <c r="B5" s="41" t="s">
        <v>225</v>
      </c>
      <c r="C5" s="130">
        <v>0</v>
      </c>
      <c r="D5" s="51">
        <v>0.1</v>
      </c>
      <c r="E5" s="51">
        <v>7.0000000000000007E-2</v>
      </c>
      <c r="F5" s="51">
        <v>0.2</v>
      </c>
      <c r="G5" s="53">
        <v>0.15</v>
      </c>
      <c r="H5" s="132"/>
      <c r="L5" s="41" t="s">
        <v>172</v>
      </c>
      <c r="N5" s="41" t="s">
        <v>180</v>
      </c>
      <c r="P5" s="41" t="s">
        <v>194</v>
      </c>
    </row>
    <row r="6" spans="2:16" x14ac:dyDescent="0.35">
      <c r="B6" s="133" t="s">
        <v>101</v>
      </c>
      <c r="C6" s="130">
        <v>0.15</v>
      </c>
      <c r="D6" s="51">
        <v>0.2</v>
      </c>
      <c r="E6" s="51">
        <v>0.1</v>
      </c>
      <c r="F6" s="51">
        <v>0.3</v>
      </c>
      <c r="G6" s="53">
        <v>0.2</v>
      </c>
      <c r="H6" s="132"/>
      <c r="L6" s="41" t="s">
        <v>173</v>
      </c>
      <c r="N6" s="41" t="s">
        <v>181</v>
      </c>
      <c r="P6" s="41" t="s">
        <v>195</v>
      </c>
    </row>
    <row r="7" spans="2:16" x14ac:dyDescent="0.35">
      <c r="B7" s="133" t="s">
        <v>85</v>
      </c>
      <c r="C7" s="130">
        <v>0.2</v>
      </c>
      <c r="D7" s="51">
        <v>0.2</v>
      </c>
      <c r="E7" s="51">
        <v>0.15</v>
      </c>
      <c r="F7" s="51">
        <v>0.3</v>
      </c>
      <c r="G7" s="53">
        <v>0.25</v>
      </c>
      <c r="H7" s="132"/>
      <c r="L7" s="41" t="s">
        <v>174</v>
      </c>
      <c r="P7" s="41" t="s">
        <v>196</v>
      </c>
    </row>
    <row r="8" spans="2:16" x14ac:dyDescent="0.35">
      <c r="B8" s="133" t="s">
        <v>102</v>
      </c>
      <c r="C8" s="130">
        <v>0.25</v>
      </c>
      <c r="D8" s="51">
        <v>0.02</v>
      </c>
      <c r="E8" s="51">
        <v>0.02</v>
      </c>
      <c r="F8" s="51">
        <v>0.2</v>
      </c>
      <c r="G8" s="53">
        <v>0.15</v>
      </c>
      <c r="H8" s="132"/>
      <c r="L8" s="41" t="s">
        <v>183</v>
      </c>
      <c r="P8" s="41" t="s">
        <v>197</v>
      </c>
    </row>
    <row r="9" spans="2:16" x14ac:dyDescent="0.35">
      <c r="B9" s="133" t="s">
        <v>103</v>
      </c>
      <c r="C9" s="130">
        <v>0.15</v>
      </c>
      <c r="D9" s="51">
        <v>0.02</v>
      </c>
      <c r="E9" s="51">
        <v>0.02</v>
      </c>
      <c r="F9" s="51">
        <v>0.2</v>
      </c>
      <c r="G9" s="53">
        <v>0.15</v>
      </c>
      <c r="H9" s="132"/>
      <c r="L9" s="41" t="s">
        <v>175</v>
      </c>
      <c r="P9" s="41" t="s">
        <v>198</v>
      </c>
    </row>
    <row r="10" spans="2:16" x14ac:dyDescent="0.35">
      <c r="B10" s="133" t="s">
        <v>86</v>
      </c>
      <c r="C10" s="130">
        <v>0.15</v>
      </c>
      <c r="D10" s="51">
        <v>0.1</v>
      </c>
      <c r="E10" s="51">
        <v>0.1</v>
      </c>
      <c r="F10" s="51">
        <v>0.3</v>
      </c>
      <c r="G10" s="53">
        <v>0.22</v>
      </c>
      <c r="H10" s="132"/>
      <c r="L10" s="41" t="s">
        <v>176</v>
      </c>
      <c r="P10" s="41" t="s">
        <v>199</v>
      </c>
    </row>
    <row r="11" spans="2:16" x14ac:dyDescent="0.35">
      <c r="B11" s="133" t="s">
        <v>104</v>
      </c>
      <c r="C11" s="130">
        <v>0.22</v>
      </c>
      <c r="D11" s="51">
        <v>0.2</v>
      </c>
      <c r="E11" s="51">
        <v>0.12</v>
      </c>
      <c r="F11" s="51">
        <v>0.4</v>
      </c>
      <c r="G11" s="53">
        <v>0.3</v>
      </c>
      <c r="H11" s="132"/>
      <c r="L11" s="41" t="s">
        <v>177</v>
      </c>
    </row>
    <row r="12" spans="2:16" x14ac:dyDescent="0.35">
      <c r="B12" s="133" t="s">
        <v>105</v>
      </c>
      <c r="C12" s="130">
        <v>0.3</v>
      </c>
      <c r="D12" s="51">
        <v>0.2</v>
      </c>
      <c r="E12" s="51">
        <v>0.12</v>
      </c>
      <c r="F12" s="51">
        <v>0.4</v>
      </c>
      <c r="G12" s="53">
        <v>0.3</v>
      </c>
      <c r="H12" s="132"/>
      <c r="L12" s="41" t="s">
        <v>178</v>
      </c>
    </row>
    <row r="13" spans="2:16" x14ac:dyDescent="0.35">
      <c r="B13" s="133" t="s">
        <v>106</v>
      </c>
      <c r="C13" s="130">
        <v>0.3</v>
      </c>
      <c r="D13" s="51">
        <v>0.02</v>
      </c>
      <c r="E13" s="51">
        <v>0.02</v>
      </c>
      <c r="F13" s="51">
        <v>0.2</v>
      </c>
      <c r="G13" s="53">
        <v>0.1</v>
      </c>
      <c r="H13" s="132"/>
    </row>
    <row r="14" spans="2:16" x14ac:dyDescent="0.35">
      <c r="B14" s="133" t="s">
        <v>88</v>
      </c>
      <c r="C14" s="130">
        <v>0.1</v>
      </c>
      <c r="D14" s="51">
        <v>0.1</v>
      </c>
      <c r="E14" s="51">
        <v>0.05</v>
      </c>
      <c r="F14" s="51">
        <v>0.2</v>
      </c>
      <c r="G14" s="51">
        <v>0.1</v>
      </c>
    </row>
    <row r="15" spans="2:16" x14ac:dyDescent="0.35">
      <c r="B15" s="133" t="s">
        <v>107</v>
      </c>
      <c r="C15" s="130">
        <v>0.1</v>
      </c>
      <c r="D15" s="51">
        <v>0.01</v>
      </c>
      <c r="E15" s="51">
        <v>0.01</v>
      </c>
      <c r="F15" s="51">
        <v>0.04</v>
      </c>
      <c r="G15" s="51">
        <v>0.02</v>
      </c>
    </row>
    <row r="16" spans="2:16" x14ac:dyDescent="0.35">
      <c r="B16" s="133" t="s">
        <v>108</v>
      </c>
      <c r="C16" s="130">
        <v>0.02</v>
      </c>
      <c r="D16" s="51">
        <v>0.01</v>
      </c>
      <c r="E16" s="51">
        <v>5.0000000000000001E-3</v>
      </c>
      <c r="F16" s="51">
        <v>0.01</v>
      </c>
      <c r="G16" s="51">
        <v>5.0000000000000001E-3</v>
      </c>
    </row>
    <row r="17" spans="2:7" x14ac:dyDescent="0.35">
      <c r="B17" s="133" t="s">
        <v>109</v>
      </c>
      <c r="C17" s="130">
        <v>0.01</v>
      </c>
      <c r="D17" s="51">
        <v>0.02</v>
      </c>
      <c r="E17" s="51">
        <v>0.01</v>
      </c>
      <c r="F17" s="51">
        <v>0.04</v>
      </c>
      <c r="G17" s="51">
        <v>0.02</v>
      </c>
    </row>
    <row r="18" spans="2:7" x14ac:dyDescent="0.35">
      <c r="B18" s="133" t="s">
        <v>110</v>
      </c>
      <c r="C18" s="130">
        <v>0.02</v>
      </c>
      <c r="D18" s="51">
        <v>0.02</v>
      </c>
      <c r="E18" s="51">
        <v>0.01</v>
      </c>
      <c r="F18" s="51">
        <v>0.04</v>
      </c>
      <c r="G18" s="51">
        <v>0.02</v>
      </c>
    </row>
    <row r="19" spans="2:7" x14ac:dyDescent="0.35">
      <c r="B19" s="133" t="s">
        <v>111</v>
      </c>
      <c r="C19" s="130">
        <v>0.02</v>
      </c>
      <c r="D19" s="51">
        <v>0.05</v>
      </c>
      <c r="E19" s="51">
        <v>0.02</v>
      </c>
      <c r="F19" s="51">
        <v>0.01</v>
      </c>
      <c r="G19" s="51">
        <v>5.0000000000000001E-3</v>
      </c>
    </row>
    <row r="20" spans="2:7" x14ac:dyDescent="0.35">
      <c r="B20" s="133" t="s">
        <v>112</v>
      </c>
      <c r="C20" s="130">
        <v>0.05</v>
      </c>
      <c r="D20" s="51">
        <v>0.01</v>
      </c>
      <c r="E20" s="51">
        <v>5.0000000000000001E-3</v>
      </c>
      <c r="F20" s="51">
        <v>0.01</v>
      </c>
      <c r="G20" s="51">
        <v>5.0000000000000001E-3</v>
      </c>
    </row>
    <row r="21" spans="2:7" x14ac:dyDescent="0.35">
      <c r="B21" s="133" t="s">
        <v>113</v>
      </c>
      <c r="C21" s="130">
        <v>0.01</v>
      </c>
      <c r="D21" s="51">
        <v>0.1</v>
      </c>
      <c r="E21" s="51">
        <v>0.1</v>
      </c>
      <c r="F21" s="51">
        <v>0.25</v>
      </c>
      <c r="G21" s="51">
        <v>0.15</v>
      </c>
    </row>
    <row r="22" spans="2:7" x14ac:dyDescent="0.35">
      <c r="B22" s="133" t="s">
        <v>114</v>
      </c>
      <c r="C22" s="130">
        <v>0.15</v>
      </c>
      <c r="D22" s="51">
        <v>0.1</v>
      </c>
      <c r="E22" s="51">
        <v>0.1</v>
      </c>
      <c r="F22" s="51">
        <v>0.15</v>
      </c>
      <c r="G22" s="51">
        <v>0.15</v>
      </c>
    </row>
    <row r="23" spans="2:7" x14ac:dyDescent="0.35">
      <c r="B23" s="133" t="s">
        <v>115</v>
      </c>
      <c r="C23" s="130">
        <v>0.15</v>
      </c>
      <c r="D23" s="51">
        <v>0.05</v>
      </c>
      <c r="E23" s="51">
        <v>0.03</v>
      </c>
      <c r="F23" s="51">
        <v>0.1</v>
      </c>
      <c r="G23" s="51">
        <v>0.1</v>
      </c>
    </row>
    <row r="24" spans="2:7" x14ac:dyDescent="0.35">
      <c r="B24" s="133" t="s">
        <v>116</v>
      </c>
      <c r="C24" s="130">
        <v>0.1</v>
      </c>
      <c r="D24" s="51">
        <v>0.03</v>
      </c>
      <c r="E24" s="51">
        <v>0.01</v>
      </c>
      <c r="F24" s="51">
        <v>0.06</v>
      </c>
      <c r="G24" s="51">
        <v>0.04</v>
      </c>
    </row>
    <row r="25" spans="2:7" x14ac:dyDescent="0.35">
      <c r="B25" s="133" t="s">
        <v>91</v>
      </c>
      <c r="C25" s="130">
        <v>0.04</v>
      </c>
      <c r="D25" s="51">
        <v>0.1</v>
      </c>
      <c r="E25" s="51">
        <v>0.05</v>
      </c>
      <c r="F25" s="51">
        <v>0.2</v>
      </c>
      <c r="G25" s="51">
        <v>0.1</v>
      </c>
    </row>
    <row r="26" spans="2:7" x14ac:dyDescent="0.35">
      <c r="B26" s="133" t="s">
        <v>117</v>
      </c>
      <c r="C26" s="130">
        <v>0.1</v>
      </c>
      <c r="D26" s="51">
        <v>0.1</v>
      </c>
      <c r="E26" s="51">
        <v>0.1</v>
      </c>
      <c r="F26" s="51">
        <v>0.25</v>
      </c>
      <c r="G26" s="51">
        <v>0.2</v>
      </c>
    </row>
    <row r="27" spans="2:7" x14ac:dyDescent="0.35">
      <c r="B27" s="133" t="s">
        <v>118</v>
      </c>
      <c r="C27" s="130">
        <v>0.2</v>
      </c>
      <c r="D27" s="51">
        <v>0.1</v>
      </c>
      <c r="E27" s="51">
        <v>0.05</v>
      </c>
      <c r="F27" s="51">
        <v>0.15</v>
      </c>
      <c r="G27" s="51">
        <v>0.1</v>
      </c>
    </row>
    <row r="28" spans="2:7" x14ac:dyDescent="0.35">
      <c r="B28" s="133" t="s">
        <v>119</v>
      </c>
      <c r="C28" s="130">
        <v>0.1</v>
      </c>
      <c r="D28" s="51">
        <v>0.05</v>
      </c>
      <c r="E28" s="51">
        <v>0.02</v>
      </c>
      <c r="F28" s="51">
        <v>0.1</v>
      </c>
      <c r="G28" s="51">
        <v>0.05</v>
      </c>
    </row>
    <row r="29" spans="2:7" x14ac:dyDescent="0.35">
      <c r="B29" s="133" t="s">
        <v>120</v>
      </c>
      <c r="C29" s="130">
        <v>0.05</v>
      </c>
      <c r="D29" s="51">
        <v>0.02</v>
      </c>
      <c r="E29" s="51">
        <v>0.01</v>
      </c>
      <c r="F29" s="51">
        <v>0.02</v>
      </c>
      <c r="G29" s="51">
        <v>0.01</v>
      </c>
    </row>
    <row r="30" spans="2:7" x14ac:dyDescent="0.35">
      <c r="B30" s="133" t="s">
        <v>121</v>
      </c>
      <c r="C30" s="130">
        <v>0.01</v>
      </c>
      <c r="D30" s="51">
        <v>0.05</v>
      </c>
      <c r="E30" s="51">
        <v>0.02</v>
      </c>
      <c r="F30" s="51">
        <v>0.1</v>
      </c>
      <c r="G30" s="51">
        <v>0.04</v>
      </c>
    </row>
    <row r="31" spans="2:7" x14ac:dyDescent="0.35">
      <c r="B31" s="133" t="s">
        <v>122</v>
      </c>
      <c r="C31" s="130">
        <v>0.04</v>
      </c>
      <c r="D31" s="51">
        <v>0.02</v>
      </c>
      <c r="E31" s="51">
        <v>0.01</v>
      </c>
      <c r="F31" s="51">
        <v>0.04</v>
      </c>
      <c r="G31" s="51">
        <v>0.02</v>
      </c>
    </row>
    <row r="32" spans="2:7" x14ac:dyDescent="0.35">
      <c r="B32" s="133" t="s">
        <v>123</v>
      </c>
      <c r="C32" s="130">
        <v>0.02</v>
      </c>
      <c r="D32" s="51">
        <v>0.02</v>
      </c>
      <c r="E32" s="51">
        <v>0.01</v>
      </c>
      <c r="F32" s="51">
        <v>0.1</v>
      </c>
      <c r="G32" s="51">
        <v>0.05</v>
      </c>
    </row>
    <row r="33" spans="2:7" x14ac:dyDescent="0.35">
      <c r="B33" s="133" t="s">
        <v>124</v>
      </c>
      <c r="C33" s="130">
        <v>0.05</v>
      </c>
      <c r="D33" s="51">
        <v>0.04</v>
      </c>
      <c r="E33" s="51">
        <v>0.02</v>
      </c>
      <c r="F33" s="51">
        <v>0.1</v>
      </c>
      <c r="G33" s="51">
        <v>0.05</v>
      </c>
    </row>
    <row r="34" spans="2:7" x14ac:dyDescent="0.35">
      <c r="B34" s="133" t="s">
        <v>125</v>
      </c>
      <c r="C34" s="130">
        <v>0.05</v>
      </c>
      <c r="D34" s="51">
        <v>0.02</v>
      </c>
      <c r="E34" s="51">
        <v>0.02</v>
      </c>
      <c r="F34" s="51">
        <v>0.1</v>
      </c>
      <c r="G34" s="51">
        <v>0.05</v>
      </c>
    </row>
    <row r="35" spans="2:7" x14ac:dyDescent="0.35">
      <c r="B35" s="133" t="s">
        <v>126</v>
      </c>
      <c r="C35" s="130">
        <v>0.05</v>
      </c>
      <c r="D35" s="51">
        <v>0.02</v>
      </c>
      <c r="E35" s="51">
        <v>0.02</v>
      </c>
      <c r="F35" s="51">
        <v>0.1</v>
      </c>
      <c r="G35" s="51">
        <v>0.05</v>
      </c>
    </row>
    <row r="36" spans="2:7" x14ac:dyDescent="0.35">
      <c r="B36" s="133" t="s">
        <v>96</v>
      </c>
      <c r="C36" s="130">
        <v>0.05</v>
      </c>
      <c r="D36" s="51">
        <v>0.04</v>
      </c>
      <c r="E36" s="51">
        <v>0.02</v>
      </c>
      <c r="F36" s="51">
        <v>0.1</v>
      </c>
      <c r="G36" s="51">
        <v>0.05</v>
      </c>
    </row>
    <row r="37" spans="2:7" x14ac:dyDescent="0.35">
      <c r="B37" s="133" t="s">
        <v>97</v>
      </c>
      <c r="C37" s="130">
        <v>0.05</v>
      </c>
      <c r="D37" s="51">
        <v>0.1</v>
      </c>
      <c r="E37" s="51">
        <v>0.15</v>
      </c>
      <c r="F37" s="51">
        <v>0.3</v>
      </c>
      <c r="G37" s="51">
        <v>0.25</v>
      </c>
    </row>
    <row r="38" spans="2:7" x14ac:dyDescent="0.35">
      <c r="B38" s="133" t="s">
        <v>127</v>
      </c>
      <c r="C38" s="130">
        <v>0.25</v>
      </c>
      <c r="D38" s="51">
        <v>0.1</v>
      </c>
      <c r="E38" s="51">
        <v>0.1</v>
      </c>
      <c r="F38" s="51">
        <v>0.3</v>
      </c>
      <c r="G38" s="51">
        <v>0.2</v>
      </c>
    </row>
    <row r="39" spans="2:7" x14ac:dyDescent="0.35">
      <c r="B39" s="133" t="s">
        <v>87</v>
      </c>
      <c r="C39" s="130">
        <v>0.2</v>
      </c>
      <c r="D39" s="51">
        <v>0.2</v>
      </c>
      <c r="E39" s="51">
        <v>0.17</v>
      </c>
      <c r="F39" s="51">
        <v>0.3</v>
      </c>
      <c r="G39" s="51">
        <v>0.25</v>
      </c>
    </row>
    <row r="40" spans="2:7" x14ac:dyDescent="0.35">
      <c r="B40" s="133" t="s">
        <v>128</v>
      </c>
      <c r="C40" s="130">
        <v>0.25</v>
      </c>
      <c r="D40" s="51">
        <v>0.2</v>
      </c>
      <c r="E40" s="51">
        <v>0.17</v>
      </c>
      <c r="F40" s="51">
        <v>0.3</v>
      </c>
      <c r="G40" s="51">
        <v>0.25</v>
      </c>
    </row>
    <row r="41" spans="2:7" x14ac:dyDescent="0.35">
      <c r="B41" s="133" t="s">
        <v>93</v>
      </c>
      <c r="C41" s="130">
        <v>0.25</v>
      </c>
      <c r="D41" s="51">
        <v>0.15</v>
      </c>
      <c r="E41" s="51">
        <v>0.15</v>
      </c>
      <c r="F41" s="51">
        <v>0.3</v>
      </c>
      <c r="G41" s="51">
        <v>0.3</v>
      </c>
    </row>
    <row r="42" spans="2:7" x14ac:dyDescent="0.35">
      <c r="B42" s="133" t="s">
        <v>92</v>
      </c>
      <c r="C42" s="130">
        <v>0.3</v>
      </c>
      <c r="D42" s="51">
        <v>0.1</v>
      </c>
      <c r="E42" s="51">
        <v>0.15</v>
      </c>
      <c r="F42" s="51">
        <v>0.3</v>
      </c>
      <c r="G42" s="51">
        <v>0.2</v>
      </c>
    </row>
    <row r="43" spans="2:7" x14ac:dyDescent="0.35">
      <c r="B43" s="133" t="s">
        <v>129</v>
      </c>
      <c r="C43" s="130">
        <v>0.2</v>
      </c>
      <c r="D43" s="51">
        <v>0.1</v>
      </c>
      <c r="E43" s="51">
        <v>0.1</v>
      </c>
      <c r="F43" s="51">
        <v>0.2</v>
      </c>
      <c r="G43" s="51">
        <v>0.2</v>
      </c>
    </row>
    <row r="44" spans="2:7" x14ac:dyDescent="0.35">
      <c r="B44" s="133" t="s">
        <v>130</v>
      </c>
      <c r="C44" s="130">
        <v>0.2</v>
      </c>
      <c r="D44" s="51">
        <v>0.2</v>
      </c>
      <c r="E44" s="51">
        <v>0.1</v>
      </c>
      <c r="F44" s="51">
        <v>0.3</v>
      </c>
      <c r="G44" s="51">
        <v>0.2</v>
      </c>
    </row>
    <row r="45" spans="2:7" x14ac:dyDescent="0.35">
      <c r="B45" s="133" t="s">
        <v>89</v>
      </c>
      <c r="C45" s="130">
        <v>0.2</v>
      </c>
      <c r="D45" s="51">
        <v>0.02</v>
      </c>
      <c r="E45" s="51">
        <v>0.01</v>
      </c>
      <c r="F45" s="51">
        <v>0.05</v>
      </c>
      <c r="G45" s="51">
        <v>0.05</v>
      </c>
    </row>
    <row r="46" spans="2:7" x14ac:dyDescent="0.35">
      <c r="B46" s="133" t="s">
        <v>131</v>
      </c>
      <c r="C46" s="130">
        <v>0.05</v>
      </c>
      <c r="D46" s="51">
        <v>0.02</v>
      </c>
      <c r="E46" s="51">
        <v>0.01</v>
      </c>
      <c r="F46" s="51">
        <v>0.05</v>
      </c>
      <c r="G46" s="51">
        <v>0.05</v>
      </c>
    </row>
    <row r="47" spans="2:7" x14ac:dyDescent="0.35">
      <c r="B47" s="133" t="s">
        <v>132</v>
      </c>
      <c r="C47" s="130">
        <v>0.05</v>
      </c>
      <c r="D47" s="51">
        <v>0.04</v>
      </c>
      <c r="E47" s="51">
        <v>0.02</v>
      </c>
      <c r="F47" s="51">
        <v>0.1</v>
      </c>
      <c r="G47" s="51">
        <v>0.05</v>
      </c>
    </row>
    <row r="48" spans="2:7" x14ac:dyDescent="0.35">
      <c r="B48" s="133" t="s">
        <v>133</v>
      </c>
      <c r="C48" s="130">
        <v>0.05</v>
      </c>
      <c r="D48" s="51">
        <v>0.03</v>
      </c>
      <c r="E48" s="51">
        <v>0.01</v>
      </c>
      <c r="F48" s="51">
        <v>0.1</v>
      </c>
      <c r="G48" s="51">
        <v>0.05</v>
      </c>
    </row>
    <row r="49" spans="2:7" x14ac:dyDescent="0.35">
      <c r="B49" s="133" t="s">
        <v>94</v>
      </c>
      <c r="C49" s="130">
        <v>0.05</v>
      </c>
      <c r="D49" s="51">
        <v>0.1</v>
      </c>
      <c r="E49" s="51">
        <v>7.0000000000000007E-2</v>
      </c>
      <c r="F49" s="51">
        <v>0.2</v>
      </c>
      <c r="G49" s="51">
        <v>0.2</v>
      </c>
    </row>
    <row r="50" spans="2:7" x14ac:dyDescent="0.35">
      <c r="B50" s="133" t="s">
        <v>134</v>
      </c>
      <c r="C50" s="130">
        <v>0.2</v>
      </c>
      <c r="D50" s="51">
        <v>0.15</v>
      </c>
      <c r="E50" s="51">
        <v>0.08</v>
      </c>
      <c r="F50" s="51">
        <v>0.3</v>
      </c>
      <c r="G50" s="51">
        <v>0.15</v>
      </c>
    </row>
    <row r="51" spans="2:7" x14ac:dyDescent="0.35">
      <c r="B51" s="133" t="s">
        <v>90</v>
      </c>
      <c r="C51" s="130">
        <v>0.15</v>
      </c>
      <c r="D51" s="51">
        <v>0.05</v>
      </c>
      <c r="E51" s="51">
        <v>0.05</v>
      </c>
      <c r="F51" s="51">
        <v>0.15</v>
      </c>
      <c r="G51" s="51">
        <v>0.1</v>
      </c>
    </row>
    <row r="52" spans="2:7" x14ac:dyDescent="0.35">
      <c r="B52" s="134" t="s">
        <v>135</v>
      </c>
      <c r="C52" s="130">
        <v>0.1</v>
      </c>
      <c r="D52" s="51">
        <v>0.05</v>
      </c>
      <c r="E52" s="51">
        <v>0.05</v>
      </c>
      <c r="F52" s="51">
        <v>0.1</v>
      </c>
      <c r="G52" s="51">
        <v>0.1</v>
      </c>
    </row>
    <row r="53" spans="2:7" x14ac:dyDescent="0.35">
      <c r="B53" s="133" t="s">
        <v>136</v>
      </c>
      <c r="C53" s="130">
        <v>0.1</v>
      </c>
      <c r="D53" s="51">
        <v>0.4</v>
      </c>
      <c r="E53" s="51">
        <v>0.25</v>
      </c>
      <c r="F53" s="51">
        <v>0.75</v>
      </c>
      <c r="G53" s="51">
        <v>0.4</v>
      </c>
    </row>
    <row r="54" spans="2:7" x14ac:dyDescent="0.35">
      <c r="B54" s="133" t="s">
        <v>137</v>
      </c>
      <c r="C54" s="130">
        <v>0.4</v>
      </c>
      <c r="D54" s="51">
        <v>0.2</v>
      </c>
      <c r="E54" s="51">
        <v>0.1</v>
      </c>
      <c r="F54" s="51">
        <v>0.3</v>
      </c>
      <c r="G54" s="51">
        <v>0.2</v>
      </c>
    </row>
    <row r="55" spans="2:7" x14ac:dyDescent="0.35">
      <c r="B55" s="133" t="s">
        <v>138</v>
      </c>
      <c r="C55" s="130">
        <v>0.2</v>
      </c>
      <c r="D55" s="51">
        <v>0.1</v>
      </c>
      <c r="E55" s="51">
        <v>0.1</v>
      </c>
      <c r="F55" s="51">
        <v>0.25</v>
      </c>
      <c r="G55" s="51">
        <v>0.2</v>
      </c>
    </row>
    <row r="56" spans="2:7" x14ac:dyDescent="0.35">
      <c r="B56" s="133" t="s">
        <v>139</v>
      </c>
      <c r="C56" s="130">
        <v>0.2</v>
      </c>
      <c r="D56" s="51">
        <v>0.1</v>
      </c>
      <c r="E56" s="51">
        <v>0.1</v>
      </c>
      <c r="F56" s="51">
        <v>0.15</v>
      </c>
      <c r="G56" s="51">
        <v>0.15</v>
      </c>
    </row>
    <row r="57" spans="2:7" x14ac:dyDescent="0.35">
      <c r="B57" s="133" t="s">
        <v>140</v>
      </c>
      <c r="C57" s="130">
        <v>0.15</v>
      </c>
      <c r="D57" s="51">
        <v>0.15</v>
      </c>
      <c r="E57" s="51">
        <v>0.15</v>
      </c>
      <c r="F57" s="51">
        <v>0.3</v>
      </c>
      <c r="G57" s="51">
        <v>0.2</v>
      </c>
    </row>
    <row r="58" spans="2:7" x14ac:dyDescent="0.35">
      <c r="B58" s="133" t="s">
        <v>141</v>
      </c>
      <c r="C58" s="130">
        <v>0.2</v>
      </c>
      <c r="D58" s="51">
        <v>0.05</v>
      </c>
      <c r="E58" s="51">
        <v>0.02</v>
      </c>
      <c r="F58" s="51">
        <v>0.1</v>
      </c>
      <c r="G58" s="51">
        <v>0.05</v>
      </c>
    </row>
    <row r="59" spans="2:7" x14ac:dyDescent="0.35">
      <c r="B59" s="133" t="s">
        <v>142</v>
      </c>
      <c r="C59" s="130">
        <v>0.05</v>
      </c>
      <c r="D59" s="51">
        <v>0.02</v>
      </c>
      <c r="E59" s="51">
        <v>0.01</v>
      </c>
      <c r="F59" s="51">
        <v>0.03</v>
      </c>
      <c r="G59" s="51">
        <v>0.03</v>
      </c>
    </row>
    <row r="60" spans="2:7" x14ac:dyDescent="0.35">
      <c r="B60" s="133" t="s">
        <v>143</v>
      </c>
      <c r="C60" s="130">
        <v>0.03</v>
      </c>
      <c r="D60" s="51">
        <v>0.1</v>
      </c>
      <c r="E60" s="51">
        <v>0.05</v>
      </c>
      <c r="F60" s="51">
        <v>0.2</v>
      </c>
      <c r="G60" s="51">
        <v>0.1</v>
      </c>
    </row>
    <row r="61" spans="2:7" x14ac:dyDescent="0.35">
      <c r="B61" s="133" t="s">
        <v>144</v>
      </c>
      <c r="C61" s="130">
        <v>0.1</v>
      </c>
      <c r="D61" s="51">
        <v>0.1</v>
      </c>
      <c r="E61" s="51">
        <v>0.05</v>
      </c>
      <c r="F61" s="51">
        <v>0.2</v>
      </c>
      <c r="G61" s="51">
        <v>0.1</v>
      </c>
    </row>
    <row r="62" spans="2:7" x14ac:dyDescent="0.35">
      <c r="B62" s="133" t="s">
        <v>145</v>
      </c>
      <c r="C62" s="130">
        <v>0.1</v>
      </c>
      <c r="D62" s="51">
        <v>0.04</v>
      </c>
      <c r="E62" s="51">
        <v>0.02</v>
      </c>
      <c r="F62" s="51">
        <v>0.08</v>
      </c>
      <c r="G62" s="51">
        <v>0.03</v>
      </c>
    </row>
    <row r="63" spans="2:7" x14ac:dyDescent="0.35">
      <c r="B63" s="133" t="s">
        <v>146</v>
      </c>
      <c r="C63" s="130">
        <v>0.03</v>
      </c>
      <c r="D63" s="51">
        <v>0.04</v>
      </c>
      <c r="E63" s="51">
        <v>0.02</v>
      </c>
      <c r="F63" s="51">
        <v>0.08</v>
      </c>
      <c r="G63" s="51">
        <v>0.03</v>
      </c>
    </row>
    <row r="64" spans="2:7" x14ac:dyDescent="0.35">
      <c r="B64" s="133" t="s">
        <v>147</v>
      </c>
      <c r="C64" s="130">
        <v>0.03</v>
      </c>
      <c r="D64" s="51">
        <v>0.01</v>
      </c>
      <c r="E64" s="51">
        <v>0.01</v>
      </c>
      <c r="F64" s="51">
        <v>0.01</v>
      </c>
      <c r="G64" s="51">
        <v>0.01</v>
      </c>
    </row>
    <row r="65" spans="2:7" x14ac:dyDescent="0.35">
      <c r="B65" s="133" t="s">
        <v>148</v>
      </c>
      <c r="C65" s="130">
        <v>0.01</v>
      </c>
      <c r="D65" s="51">
        <v>0.01</v>
      </c>
      <c r="E65" s="51">
        <v>0.01</v>
      </c>
      <c r="F65" s="51">
        <v>0.01</v>
      </c>
      <c r="G65" s="51">
        <v>0.01</v>
      </c>
    </row>
    <row r="66" spans="2:7" x14ac:dyDescent="0.35">
      <c r="B66" s="133" t="s">
        <v>149</v>
      </c>
      <c r="C66" s="130">
        <v>0.01</v>
      </c>
      <c r="D66" s="51">
        <v>0.01</v>
      </c>
      <c r="E66" s="51">
        <v>5.0000000000000001E-3</v>
      </c>
      <c r="F66" s="51">
        <v>0.01</v>
      </c>
      <c r="G66" s="51">
        <v>5.0000000000000001E-3</v>
      </c>
    </row>
    <row r="67" spans="2:7" x14ac:dyDescent="0.35">
      <c r="B67" s="133" t="s">
        <v>150</v>
      </c>
      <c r="C67" s="130">
        <v>0.01</v>
      </c>
      <c r="D67" s="51">
        <v>0.01</v>
      </c>
      <c r="E67" s="51">
        <v>5.0000000000000001E-3</v>
      </c>
      <c r="F67" s="51">
        <v>0.01</v>
      </c>
      <c r="G67" s="51">
        <v>5.0000000000000001E-3</v>
      </c>
    </row>
    <row r="68" spans="2:7" x14ac:dyDescent="0.35">
      <c r="B68" s="133" t="s">
        <v>151</v>
      </c>
      <c r="C68" s="130">
        <v>0.01</v>
      </c>
      <c r="D68" s="51">
        <v>0.02</v>
      </c>
      <c r="E68" s="51">
        <v>0.01</v>
      </c>
      <c r="F68" s="51">
        <v>0.04</v>
      </c>
      <c r="G68" s="51">
        <v>0.02</v>
      </c>
    </row>
    <row r="69" spans="2:7" x14ac:dyDescent="0.35">
      <c r="B69" s="133" t="s">
        <v>152</v>
      </c>
      <c r="C69" s="130">
        <v>0.02</v>
      </c>
      <c r="D69" s="51">
        <v>0.02</v>
      </c>
      <c r="E69" s="51">
        <v>0.01</v>
      </c>
      <c r="F69" s="51">
        <v>0.02</v>
      </c>
      <c r="G69" s="51">
        <v>0.01</v>
      </c>
    </row>
    <row r="70" spans="2:7" x14ac:dyDescent="0.35">
      <c r="B70" s="133" t="s">
        <v>153</v>
      </c>
      <c r="C70" s="130">
        <v>0.01</v>
      </c>
      <c r="D70" s="51">
        <v>0.05</v>
      </c>
      <c r="E70" s="51">
        <v>0.02</v>
      </c>
      <c r="F70" s="51">
        <v>0.08</v>
      </c>
      <c r="G70" s="51">
        <v>0.03</v>
      </c>
    </row>
    <row r="71" spans="2:7" x14ac:dyDescent="0.35">
      <c r="B71" s="133" t="s">
        <v>154</v>
      </c>
      <c r="C71" s="130">
        <v>0.03</v>
      </c>
      <c r="D71" s="51">
        <v>0.03</v>
      </c>
      <c r="E71" s="51">
        <v>0.02</v>
      </c>
      <c r="F71" s="51">
        <v>0.05</v>
      </c>
      <c r="G71" s="51">
        <v>0.03</v>
      </c>
    </row>
    <row r="72" spans="2:7" x14ac:dyDescent="0.35">
      <c r="B72" s="133" t="s">
        <v>155</v>
      </c>
      <c r="C72" s="130">
        <v>0.03</v>
      </c>
      <c r="D72" s="51">
        <v>0.04</v>
      </c>
      <c r="E72" s="51">
        <v>0.02</v>
      </c>
      <c r="F72" s="51">
        <v>0.08</v>
      </c>
      <c r="G72" s="51">
        <v>0.03</v>
      </c>
    </row>
    <row r="73" spans="2:7" x14ac:dyDescent="0.35">
      <c r="B73" s="133" t="s">
        <v>156</v>
      </c>
      <c r="C73" s="130">
        <v>0.03</v>
      </c>
      <c r="D73" s="51">
        <v>0.02</v>
      </c>
      <c r="E73" s="51">
        <v>0.01</v>
      </c>
      <c r="F73" s="51">
        <v>0.05</v>
      </c>
      <c r="G73" s="51">
        <v>0.03</v>
      </c>
    </row>
    <row r="74" spans="2:7" x14ac:dyDescent="0.35">
      <c r="B74" s="133" t="s">
        <v>157</v>
      </c>
      <c r="C74" s="130">
        <v>0.03</v>
      </c>
      <c r="D74" s="51">
        <v>0.02</v>
      </c>
      <c r="E74" s="51">
        <v>0.01</v>
      </c>
      <c r="F74" s="51">
        <v>0.05</v>
      </c>
      <c r="G74" s="51">
        <v>0.03</v>
      </c>
    </row>
    <row r="75" spans="2:7" x14ac:dyDescent="0.35">
      <c r="B75" s="133" t="s">
        <v>158</v>
      </c>
      <c r="C75" s="130">
        <v>0.05</v>
      </c>
      <c r="D75" s="51">
        <v>0.08</v>
      </c>
      <c r="E75" s="51">
        <v>0.04</v>
      </c>
      <c r="F75" s="51">
        <v>0.15</v>
      </c>
      <c r="G75" s="51">
        <v>0.1</v>
      </c>
    </row>
    <row r="76" spans="2:7" x14ac:dyDescent="0.35">
      <c r="B76" s="133" t="s">
        <v>159</v>
      </c>
      <c r="C76" s="130">
        <v>0.1</v>
      </c>
      <c r="D76" s="51">
        <v>0.08</v>
      </c>
      <c r="E76" s="51">
        <v>0.04</v>
      </c>
      <c r="F76" s="51">
        <v>0.15</v>
      </c>
      <c r="G76" s="51">
        <v>0.1</v>
      </c>
    </row>
    <row r="77" spans="2:7" x14ac:dyDescent="0.35">
      <c r="B77" s="133" t="s">
        <v>160</v>
      </c>
      <c r="C77" s="130">
        <v>0.1</v>
      </c>
      <c r="D77" s="51">
        <v>0.08</v>
      </c>
      <c r="E77" s="51">
        <v>0.04</v>
      </c>
      <c r="F77" s="51">
        <v>0.15</v>
      </c>
      <c r="G77" s="51">
        <v>0.08</v>
      </c>
    </row>
    <row r="78" spans="2:7" x14ac:dyDescent="0.35">
      <c r="B78" s="133" t="s">
        <v>161</v>
      </c>
      <c r="C78" s="130">
        <v>0.08</v>
      </c>
      <c r="D78" s="51">
        <v>0.04</v>
      </c>
      <c r="E78" s="51">
        <v>0.02</v>
      </c>
      <c r="F78" s="51">
        <v>0.05</v>
      </c>
      <c r="G78" s="51">
        <v>0.03</v>
      </c>
    </row>
    <row r="79" spans="2:7" x14ac:dyDescent="0.35">
      <c r="B79" s="133" t="s">
        <v>162</v>
      </c>
      <c r="C79" s="130">
        <v>0.03</v>
      </c>
      <c r="D79" s="51">
        <v>0.04</v>
      </c>
      <c r="E79" s="51">
        <v>0.02</v>
      </c>
      <c r="F79" s="51">
        <v>0.05</v>
      </c>
      <c r="G79" s="51">
        <v>0.03</v>
      </c>
    </row>
    <row r="80" spans="2:7" x14ac:dyDescent="0.35">
      <c r="B80" s="133" t="s">
        <v>95</v>
      </c>
      <c r="C80" s="130">
        <v>0.03</v>
      </c>
      <c r="D80" s="51">
        <v>0.04</v>
      </c>
      <c r="E80" s="51">
        <v>0.02</v>
      </c>
      <c r="F80" s="51">
        <v>0.05</v>
      </c>
      <c r="G80" s="51">
        <v>0.03</v>
      </c>
    </row>
    <row r="81" spans="2:3" x14ac:dyDescent="0.35">
      <c r="B81" s="133" t="s">
        <v>163</v>
      </c>
      <c r="C81" s="130">
        <v>0.03</v>
      </c>
    </row>
  </sheetData>
  <mergeCells count="2">
    <mergeCell ref="B2:I2"/>
    <mergeCell ref="B3:C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9DD2-9F5B-4569-B465-DC222D9D46CE}">
  <sheetPr>
    <tabColor theme="1"/>
  </sheetPr>
  <dimension ref="B2:U34"/>
  <sheetViews>
    <sheetView topLeftCell="A3" workbookViewId="0">
      <selection activeCell="E13" sqref="E13"/>
    </sheetView>
  </sheetViews>
  <sheetFormatPr defaultRowHeight="14.5" x14ac:dyDescent="0.35"/>
  <cols>
    <col min="1" max="1" width="3.08984375" customWidth="1"/>
    <col min="2" max="2" width="13.6328125" customWidth="1"/>
    <col min="3" max="3" width="12" bestFit="1" customWidth="1"/>
    <col min="4" max="4" width="11.36328125" bestFit="1" customWidth="1"/>
    <col min="14" max="14" width="9.90625" bestFit="1" customWidth="1"/>
  </cols>
  <sheetData>
    <row r="2" spans="2:21" x14ac:dyDescent="0.35">
      <c r="C2" s="135" t="s">
        <v>226</v>
      </c>
      <c r="D2" s="135" t="s">
        <v>226</v>
      </c>
      <c r="F2" s="159"/>
      <c r="G2" s="159"/>
      <c r="H2" s="159"/>
      <c r="I2" s="159"/>
      <c r="J2" s="159"/>
      <c r="K2" s="159"/>
      <c r="L2" s="159"/>
      <c r="M2" s="159"/>
      <c r="N2" s="159"/>
      <c r="O2" s="159"/>
      <c r="P2" s="159"/>
      <c r="Q2" s="159"/>
      <c r="R2" s="159"/>
      <c r="S2" s="159"/>
      <c r="T2" s="159"/>
      <c r="U2" s="159"/>
    </row>
    <row r="3" spans="2:21" ht="29" x14ac:dyDescent="0.35">
      <c r="B3" s="136" t="s">
        <v>227</v>
      </c>
      <c r="C3" s="135" t="s">
        <v>228</v>
      </c>
      <c r="D3" s="137" t="s">
        <v>229</v>
      </c>
      <c r="E3" s="132"/>
      <c r="F3" s="160"/>
      <c r="G3" s="161"/>
      <c r="H3" s="162" t="s">
        <v>240</v>
      </c>
      <c r="I3" s="162" t="s">
        <v>241</v>
      </c>
      <c r="J3" s="163" t="s">
        <v>242</v>
      </c>
      <c r="K3" s="162" t="s">
        <v>243</v>
      </c>
      <c r="L3" s="162" t="s">
        <v>244</v>
      </c>
      <c r="M3" s="163" t="s">
        <v>245</v>
      </c>
      <c r="N3" s="163" t="s">
        <v>246</v>
      </c>
      <c r="O3" s="162" t="s">
        <v>240</v>
      </c>
      <c r="P3" s="162" t="s">
        <v>241</v>
      </c>
      <c r="Q3" s="163" t="s">
        <v>242</v>
      </c>
      <c r="R3" s="162" t="s">
        <v>243</v>
      </c>
      <c r="S3" s="162" t="s">
        <v>244</v>
      </c>
      <c r="T3" s="163" t="s">
        <v>245</v>
      </c>
      <c r="U3" s="163" t="s">
        <v>246</v>
      </c>
    </row>
    <row r="4" spans="2:21" x14ac:dyDescent="0.35">
      <c r="B4" s="41" t="s">
        <v>172</v>
      </c>
      <c r="C4" s="135">
        <v>1.6465250156540216E-2</v>
      </c>
      <c r="D4" s="137">
        <v>3.5990313013993261E-2</v>
      </c>
      <c r="E4" s="132"/>
      <c r="F4" s="160" t="s">
        <v>247</v>
      </c>
      <c r="G4" s="161">
        <v>2021</v>
      </c>
      <c r="H4" s="164">
        <v>1587513</v>
      </c>
      <c r="I4" s="164">
        <v>1020237</v>
      </c>
      <c r="J4" s="165">
        <f>H4+I4</f>
        <v>2607750</v>
      </c>
      <c r="K4" s="164">
        <v>89667</v>
      </c>
      <c r="L4" s="164">
        <v>622238</v>
      </c>
      <c r="M4" s="165">
        <f>K4+L4</f>
        <v>711905</v>
      </c>
      <c r="N4" s="165">
        <f t="shared" ref="N4:N33" si="0">J4+M4</f>
        <v>3319655</v>
      </c>
      <c r="O4" s="166">
        <v>0.26</v>
      </c>
      <c r="P4" s="166">
        <v>-0.12</v>
      </c>
      <c r="Q4" s="167">
        <v>0.08</v>
      </c>
      <c r="R4" s="166">
        <v>-0.53</v>
      </c>
      <c r="S4" s="166">
        <v>1.67</v>
      </c>
      <c r="T4" s="167">
        <v>0.68</v>
      </c>
      <c r="U4" s="167">
        <v>0.17</v>
      </c>
    </row>
    <row r="5" spans="2:21" x14ac:dyDescent="0.35">
      <c r="B5" s="41" t="s">
        <v>173</v>
      </c>
      <c r="C5" s="135">
        <v>1.5615221198574572E-2</v>
      </c>
      <c r="D5" s="137">
        <v>2.4287640268739003E-2</v>
      </c>
      <c r="E5" s="132"/>
      <c r="F5" s="160" t="s">
        <v>248</v>
      </c>
      <c r="G5" s="161">
        <v>2022</v>
      </c>
      <c r="H5" s="164">
        <f t="shared" ref="H5:M20" si="1">H4*(1+O5)</f>
        <v>1665893.6166815786</v>
      </c>
      <c r="I5" s="164">
        <f t="shared" si="1"/>
        <v>1055091.2279965617</v>
      </c>
      <c r="J5" s="165">
        <f t="shared" si="1"/>
        <v>2716455.8486791407</v>
      </c>
      <c r="K5" s="164">
        <f t="shared" si="1"/>
        <v>91625.545195165236</v>
      </c>
      <c r="L5" s="164">
        <f t="shared" si="1"/>
        <v>670564.84161136427</v>
      </c>
      <c r="M5" s="165">
        <f t="shared" si="1"/>
        <v>746544.47879361629</v>
      </c>
      <c r="N5" s="165">
        <f t="shared" si="0"/>
        <v>3463000.3274727571</v>
      </c>
      <c r="O5" s="166">
        <v>4.9373212491222798E-2</v>
      </c>
      <c r="P5" s="166">
        <v>3.4162873917101343E-2</v>
      </c>
      <c r="Q5" s="167">
        <v>4.1685686388319751E-2</v>
      </c>
      <c r="R5" s="166">
        <v>2.1842430271618737E-2</v>
      </c>
      <c r="S5" s="166">
        <v>7.766616891183814E-2</v>
      </c>
      <c r="T5" s="167">
        <v>4.8657445577171568E-2</v>
      </c>
      <c r="U5" s="167">
        <v>0.26</v>
      </c>
    </row>
    <row r="6" spans="2:21" x14ac:dyDescent="0.35">
      <c r="B6" s="41" t="s">
        <v>174</v>
      </c>
      <c r="C6" s="135">
        <v>3.195266160252231E-2</v>
      </c>
      <c r="D6" s="137">
        <v>2.6990658283985388E-2</v>
      </c>
      <c r="E6" s="132"/>
      <c r="F6" s="160" t="s">
        <v>248</v>
      </c>
      <c r="G6" s="161">
        <v>2023</v>
      </c>
      <c r="H6" s="164">
        <f t="shared" si="1"/>
        <v>1745993.1427184995</v>
      </c>
      <c r="I6" s="164">
        <f t="shared" si="1"/>
        <v>1162585.2630087393</v>
      </c>
      <c r="J6" s="165">
        <f t="shared" si="1"/>
        <v>2920398.0503624636</v>
      </c>
      <c r="K6" s="164">
        <f t="shared" si="1"/>
        <v>110729.42021693464</v>
      </c>
      <c r="L6" s="164">
        <f t="shared" si="1"/>
        <v>680965.18533951021</v>
      </c>
      <c r="M6" s="165">
        <f t="shared" si="1"/>
        <v>831077.33844045282</v>
      </c>
      <c r="N6" s="165">
        <f t="shared" si="0"/>
        <v>3751475.3888029163</v>
      </c>
      <c r="O6" s="166">
        <v>4.8082017503901217E-2</v>
      </c>
      <c r="P6" s="166">
        <v>0.10188127069949256</v>
      </c>
      <c r="Q6" s="167">
        <v>7.5076575156738962E-2</v>
      </c>
      <c r="R6" s="166">
        <v>0.20849944173404436</v>
      </c>
      <c r="S6" s="166">
        <v>1.5509825572056586E-2</v>
      </c>
      <c r="T6" s="167">
        <v>0.11323218113331708</v>
      </c>
      <c r="U6" s="167">
        <f t="shared" ref="U6:U33" si="2">(N6-N5)/N5</f>
        <v>8.3302060078256981E-2</v>
      </c>
    </row>
    <row r="7" spans="2:21" x14ac:dyDescent="0.35">
      <c r="B7" s="41" t="s">
        <v>183</v>
      </c>
      <c r="C7" s="135">
        <v>1.9699867662153519E-2</v>
      </c>
      <c r="D7" s="137">
        <v>1.3066379160471426E-2</v>
      </c>
      <c r="E7" s="132"/>
      <c r="F7" s="160" t="s">
        <v>248</v>
      </c>
      <c r="G7" s="161">
        <v>2024</v>
      </c>
      <c r="H7" s="164">
        <f t="shared" si="1"/>
        <v>1825376.0107829021</v>
      </c>
      <c r="I7" s="164">
        <f t="shared" si="1"/>
        <v>1212535.9691552883</v>
      </c>
      <c r="J7" s="165">
        <f t="shared" si="1"/>
        <v>3049420.5742704892</v>
      </c>
      <c r="K7" s="164">
        <f t="shared" si="1"/>
        <v>116523.60866558019</v>
      </c>
      <c r="L7" s="164">
        <f t="shared" si="1"/>
        <v>724399.38695079042</v>
      </c>
      <c r="M7" s="165">
        <f t="shared" si="1"/>
        <v>878852.72540942393</v>
      </c>
      <c r="N7" s="165">
        <f t="shared" si="0"/>
        <v>3928273.2996799131</v>
      </c>
      <c r="O7" s="166">
        <v>4.5465738737555529E-2</v>
      </c>
      <c r="P7" s="166">
        <v>4.296519811138657E-2</v>
      </c>
      <c r="Q7" s="167">
        <v>4.417977333330033E-2</v>
      </c>
      <c r="R7" s="166">
        <v>5.2327452246150374E-2</v>
      </c>
      <c r="S7" s="166">
        <v>6.3783292518287987E-2</v>
      </c>
      <c r="T7" s="167">
        <v>5.7486090354266425E-2</v>
      </c>
      <c r="U7" s="167">
        <f t="shared" si="2"/>
        <v>4.7127567837626803E-2</v>
      </c>
    </row>
    <row r="8" spans="2:21" x14ac:dyDescent="0.35">
      <c r="B8" s="41" t="s">
        <v>175</v>
      </c>
      <c r="C8" s="135">
        <v>1.9512302850000194E-2</v>
      </c>
      <c r="D8" s="137">
        <v>1.2024674308902259E-2</v>
      </c>
      <c r="E8" s="132"/>
      <c r="F8" s="160" t="s">
        <v>248</v>
      </c>
      <c r="G8" s="161">
        <v>2025</v>
      </c>
      <c r="H8" s="164">
        <f t="shared" si="1"/>
        <v>1919822.5818241111</v>
      </c>
      <c r="I8" s="164">
        <f t="shared" si="1"/>
        <v>1270215.9401610647</v>
      </c>
      <c r="J8" s="165">
        <f t="shared" si="1"/>
        <v>3200666.4796703085</v>
      </c>
      <c r="K8" s="164">
        <f t="shared" si="1"/>
        <v>122702.5294300254</v>
      </c>
      <c r="L8" s="164">
        <f t="shared" si="1"/>
        <v>774783.55935844348</v>
      </c>
      <c r="M8" s="165">
        <f t="shared" si="1"/>
        <v>932034.91756707861</v>
      </c>
      <c r="N8" s="165">
        <f t="shared" si="0"/>
        <v>4132701.397237387</v>
      </c>
      <c r="O8" s="166">
        <v>5.1740885430339729E-2</v>
      </c>
      <c r="P8" s="166">
        <v>4.7569698939289314E-2</v>
      </c>
      <c r="Q8" s="167">
        <v>4.9598243901139157E-2</v>
      </c>
      <c r="R8" s="166">
        <v>5.3027200540781076E-2</v>
      </c>
      <c r="S8" s="166">
        <v>6.9553030158866838E-2</v>
      </c>
      <c r="T8" s="167">
        <v>6.051320160938127E-2</v>
      </c>
      <c r="U8" s="167">
        <f t="shared" si="2"/>
        <v>5.2040192207128591E-2</v>
      </c>
    </row>
    <row r="9" spans="2:21" x14ac:dyDescent="0.35">
      <c r="B9" s="41" t="s">
        <v>176</v>
      </c>
      <c r="C9" s="135">
        <v>1.782356260884985E-2</v>
      </c>
      <c r="D9" s="137">
        <v>2.9745043736646361E-2</v>
      </c>
      <c r="E9" s="132"/>
      <c r="F9" s="160" t="s">
        <v>248</v>
      </c>
      <c r="G9" s="161">
        <v>2026</v>
      </c>
      <c r="H9" s="164">
        <f t="shared" si="1"/>
        <v>1973080.4928185793</v>
      </c>
      <c r="I9" s="164">
        <f t="shared" si="1"/>
        <v>1313834.5877013723</v>
      </c>
      <c r="J9" s="165">
        <f t="shared" si="1"/>
        <v>3300284.0263287318</v>
      </c>
      <c r="K9" s="164">
        <f t="shared" si="1"/>
        <v>129806.88225428625</v>
      </c>
      <c r="L9" s="164">
        <f t="shared" si="1"/>
        <v>804538.68655909935</v>
      </c>
      <c r="M9" s="165">
        <f t="shared" si="1"/>
        <v>977698.0307421129</v>
      </c>
      <c r="N9" s="165">
        <f t="shared" si="0"/>
        <v>4277982.0570708448</v>
      </c>
      <c r="O9" s="166">
        <v>2.7741058730471564E-2</v>
      </c>
      <c r="P9" s="166">
        <v>3.4339552954103632E-2</v>
      </c>
      <c r="Q9" s="167">
        <v>3.1124000982659217E-2</v>
      </c>
      <c r="R9" s="166">
        <v>5.7898992443446706E-2</v>
      </c>
      <c r="S9" s="166">
        <v>3.8404438041115138E-2</v>
      </c>
      <c r="T9" s="167">
        <v>4.8992921095950201E-2</v>
      </c>
      <c r="U9" s="167">
        <f t="shared" si="2"/>
        <v>3.5153921338370697E-2</v>
      </c>
    </row>
    <row r="10" spans="2:21" x14ac:dyDescent="0.35">
      <c r="B10" s="41" t="s">
        <v>177</v>
      </c>
      <c r="C10" s="135">
        <v>2.50890639495287E-2</v>
      </c>
      <c r="D10" s="137">
        <v>2.4222517026481549E-2</v>
      </c>
      <c r="E10" s="132"/>
      <c r="F10" s="160" t="s">
        <v>248</v>
      </c>
      <c r="G10" s="161">
        <v>2027</v>
      </c>
      <c r="H10" s="164">
        <f t="shared" si="1"/>
        <v>2040679.2554481998</v>
      </c>
      <c r="I10" s="164">
        <f t="shared" si="1"/>
        <v>1351880.7836493989</v>
      </c>
      <c r="J10" s="165">
        <f t="shared" si="1"/>
        <v>3404353.840011098</v>
      </c>
      <c r="K10" s="164">
        <f t="shared" si="1"/>
        <v>134297.16432757303</v>
      </c>
      <c r="L10" s="164">
        <f t="shared" si="1"/>
        <v>848648.42357800307</v>
      </c>
      <c r="M10" s="165">
        <f t="shared" si="1"/>
        <v>1020465.1285324028</v>
      </c>
      <c r="N10" s="165">
        <f t="shared" si="0"/>
        <v>4424818.9685435006</v>
      </c>
      <c r="O10" s="166">
        <v>3.4260519464694862E-2</v>
      </c>
      <c r="P10" s="166">
        <v>2.8958132404316269E-2</v>
      </c>
      <c r="Q10" s="167">
        <v>3.1533593124751298E-2</v>
      </c>
      <c r="R10" s="166">
        <v>3.4592018507081136E-2</v>
      </c>
      <c r="S10" s="166">
        <v>5.4826123038974023E-2</v>
      </c>
      <c r="T10" s="167">
        <v>4.3742644912384471E-2</v>
      </c>
      <c r="U10" s="167">
        <f t="shared" si="2"/>
        <v>3.4323872684308497E-2</v>
      </c>
    </row>
    <row r="11" spans="2:21" x14ac:dyDescent="0.35">
      <c r="B11" s="41" t="s">
        <v>178</v>
      </c>
      <c r="C11" s="135">
        <v>2.4045854892342022E-2</v>
      </c>
      <c r="D11" s="137">
        <v>4.1038431317052267E-2</v>
      </c>
      <c r="E11" s="132"/>
      <c r="F11" s="160" t="s">
        <v>248</v>
      </c>
      <c r="G11" s="161">
        <v>2028</v>
      </c>
      <c r="H11" s="164">
        <f t="shared" si="1"/>
        <v>2138567.8580291821</v>
      </c>
      <c r="I11" s="164">
        <f t="shared" si="1"/>
        <v>1392237.0474273027</v>
      </c>
      <c r="J11" s="165">
        <f t="shared" si="1"/>
        <v>3536016.5234545455</v>
      </c>
      <c r="K11" s="164">
        <f t="shared" si="1"/>
        <v>136493.59058010697</v>
      </c>
      <c r="L11" s="164">
        <f t="shared" si="1"/>
        <v>914518.02088874124</v>
      </c>
      <c r="M11" s="165">
        <f t="shared" si="1"/>
        <v>1065727.0448459815</v>
      </c>
      <c r="N11" s="165">
        <f t="shared" si="0"/>
        <v>4601743.5683005266</v>
      </c>
      <c r="O11" s="166">
        <v>4.7968637070053867E-2</v>
      </c>
      <c r="P11" s="166">
        <v>2.9851939805640309E-2</v>
      </c>
      <c r="Q11" s="167">
        <v>3.8674793993510981E-2</v>
      </c>
      <c r="R11" s="166">
        <v>1.6354971182984287E-2</v>
      </c>
      <c r="S11" s="166">
        <v>7.7617062001982109E-2</v>
      </c>
      <c r="T11" s="167">
        <v>4.4354201871329893E-2</v>
      </c>
      <c r="U11" s="167">
        <f t="shared" si="2"/>
        <v>3.9984596209427181E-2</v>
      </c>
    </row>
    <row r="12" spans="2:21" x14ac:dyDescent="0.35">
      <c r="C12" s="138"/>
      <c r="D12" s="139"/>
      <c r="E12" s="132"/>
      <c r="F12" s="160" t="s">
        <v>248</v>
      </c>
      <c r="G12" s="161">
        <v>2029</v>
      </c>
      <c r="H12" s="164">
        <f t="shared" si="1"/>
        <v>2236144.7131554615</v>
      </c>
      <c r="I12" s="164">
        <f t="shared" si="1"/>
        <v>1434222.100921826</v>
      </c>
      <c r="J12" s="165">
        <f t="shared" si="1"/>
        <v>3669530.0860421699</v>
      </c>
      <c r="K12" s="164">
        <f t="shared" si="1"/>
        <v>139249.62737519652</v>
      </c>
      <c r="L12" s="164">
        <f t="shared" si="1"/>
        <v>980339.17632007122</v>
      </c>
      <c r="M12" s="165">
        <f t="shared" si="1"/>
        <v>1113271.1318097666</v>
      </c>
      <c r="N12" s="165">
        <f t="shared" si="0"/>
        <v>4782801.2178519368</v>
      </c>
      <c r="O12" s="166">
        <v>4.5627196144340354E-2</v>
      </c>
      <c r="P12" s="166">
        <v>3.0156540922472285E-2</v>
      </c>
      <c r="Q12" s="167">
        <v>3.7758184019227051E-2</v>
      </c>
      <c r="R12" s="166">
        <v>2.0191693861786566E-2</v>
      </c>
      <c r="S12" s="166">
        <v>7.1973601315547656E-2</v>
      </c>
      <c r="T12" s="167">
        <v>4.4611879930903202E-2</v>
      </c>
      <c r="U12" s="167">
        <f t="shared" si="2"/>
        <v>3.9345445234854053E-2</v>
      </c>
    </row>
    <row r="13" spans="2:21" x14ac:dyDescent="0.35">
      <c r="B13" s="157" t="s">
        <v>226</v>
      </c>
      <c r="C13" s="157"/>
      <c r="F13" s="160" t="s">
        <v>248</v>
      </c>
      <c r="G13" s="161">
        <v>2030</v>
      </c>
      <c r="H13" s="164">
        <f t="shared" si="1"/>
        <v>2322981.6594960573</v>
      </c>
      <c r="I13" s="164">
        <f t="shared" si="1"/>
        <v>1477285.7757402789</v>
      </c>
      <c r="J13" s="165">
        <f t="shared" si="1"/>
        <v>3795711.5614540135</v>
      </c>
      <c r="K13" s="164">
        <f t="shared" si="1"/>
        <v>143417.97762215161</v>
      </c>
      <c r="L13" s="164">
        <f t="shared" si="1"/>
        <v>1038522.3364289333</v>
      </c>
      <c r="M13" s="165">
        <f t="shared" si="1"/>
        <v>1162444.3911028458</v>
      </c>
      <c r="N13" s="165">
        <f t="shared" si="0"/>
        <v>4958155.9525568597</v>
      </c>
      <c r="O13" s="166">
        <v>3.8833330342945005E-2</v>
      </c>
      <c r="P13" s="166">
        <v>3.0025806177979262E-2</v>
      </c>
      <c r="Q13" s="167">
        <v>3.4386276295104073E-2</v>
      </c>
      <c r="R13" s="166">
        <v>2.9934372719891002E-2</v>
      </c>
      <c r="S13" s="166">
        <v>5.9350030595804536E-2</v>
      </c>
      <c r="T13" s="167">
        <v>4.4170065932762972E-2</v>
      </c>
      <c r="U13" s="167">
        <f t="shared" si="2"/>
        <v>3.6663605012561787E-2</v>
      </c>
    </row>
    <row r="14" spans="2:21" ht="29" x14ac:dyDescent="0.35">
      <c r="B14" s="140" t="s">
        <v>230</v>
      </c>
      <c r="C14" s="141">
        <f>'Inputs &amp; Outputs'!$C$30</f>
        <v>11726</v>
      </c>
      <c r="F14" s="160" t="s">
        <v>248</v>
      </c>
      <c r="G14" s="161">
        <v>2031</v>
      </c>
      <c r="H14" s="164">
        <f t="shared" si="1"/>
        <v>2410100.6974391108</v>
      </c>
      <c r="I14" s="164">
        <f t="shared" si="1"/>
        <v>1544078.0495725661</v>
      </c>
      <c r="J14" s="165">
        <f t="shared" si="1"/>
        <v>3952776.0458189477</v>
      </c>
      <c r="K14" s="164">
        <f t="shared" si="1"/>
        <v>153260.55060021367</v>
      </c>
      <c r="L14" s="164">
        <f t="shared" si="1"/>
        <v>1084459.0425624338</v>
      </c>
      <c r="M14" s="165">
        <f t="shared" si="1"/>
        <v>1228297.5606651604</v>
      </c>
      <c r="N14" s="165">
        <f t="shared" si="0"/>
        <v>5181073.6064841077</v>
      </c>
      <c r="O14" s="166">
        <v>3.750311053336209E-2</v>
      </c>
      <c r="P14" s="166">
        <v>4.5212832160938646E-2</v>
      </c>
      <c r="Q14" s="167">
        <v>4.1379457269605596E-2</v>
      </c>
      <c r="R14" s="166">
        <v>6.8628585769025877E-2</v>
      </c>
      <c r="S14" s="166">
        <v>4.4232756987643312E-2</v>
      </c>
      <c r="T14" s="167">
        <v>5.6650597711463829E-2</v>
      </c>
      <c r="U14" s="167">
        <f t="shared" si="2"/>
        <v>4.4959790708537936E-2</v>
      </c>
    </row>
    <row r="15" spans="2:21" ht="43.5" x14ac:dyDescent="0.35">
      <c r="B15" s="140" t="s">
        <v>231</v>
      </c>
      <c r="C15" s="141">
        <f>'Inputs &amp; Outputs'!$C$31</f>
        <v>18256</v>
      </c>
      <c r="F15" s="160" t="s">
        <v>248</v>
      </c>
      <c r="G15" s="161">
        <v>2032</v>
      </c>
      <c r="H15" s="164">
        <f t="shared" si="1"/>
        <v>2504214.3875241112</v>
      </c>
      <c r="I15" s="164">
        <f t="shared" si="1"/>
        <v>1597456.9379335609</v>
      </c>
      <c r="J15" s="165">
        <f t="shared" si="1"/>
        <v>4098195.1459823195</v>
      </c>
      <c r="K15" s="164">
        <f t="shared" si="1"/>
        <v>159369.47280691875</v>
      </c>
      <c r="L15" s="164">
        <f t="shared" si="1"/>
        <v>1143846.1458769133</v>
      </c>
      <c r="M15" s="165">
        <f t="shared" si="1"/>
        <v>1286138.7180714784</v>
      </c>
      <c r="N15" s="165">
        <f t="shared" si="0"/>
        <v>5384333.8640537979</v>
      </c>
      <c r="O15" s="166">
        <v>3.9049692066809624E-2</v>
      </c>
      <c r="P15" s="166">
        <v>3.4570071361205504E-2</v>
      </c>
      <c r="Q15" s="167">
        <v>3.6789106814485287E-2</v>
      </c>
      <c r="R15" s="166">
        <v>3.9859717212164116E-2</v>
      </c>
      <c r="S15" s="166">
        <v>5.4761960556993922E-2</v>
      </c>
      <c r="T15" s="167">
        <v>4.7090509057915231E-2</v>
      </c>
      <c r="U15" s="167">
        <f t="shared" si="2"/>
        <v>3.9231300886231425E-2</v>
      </c>
    </row>
    <row r="16" spans="2:21" x14ac:dyDescent="0.35">
      <c r="B16" s="41" t="s">
        <v>226</v>
      </c>
      <c r="C16" s="142">
        <v>5.2999999999999999E-2</v>
      </c>
      <c r="F16" s="160" t="s">
        <v>248</v>
      </c>
      <c r="G16" s="161">
        <v>2033</v>
      </c>
      <c r="H16" s="164">
        <f t="shared" si="1"/>
        <v>2637682.9665867179</v>
      </c>
      <c r="I16" s="164">
        <f t="shared" si="1"/>
        <v>1645696.8524652997</v>
      </c>
      <c r="J16" s="165">
        <f t="shared" si="1"/>
        <v>4268948.8467210699</v>
      </c>
      <c r="K16" s="164">
        <f t="shared" si="1"/>
        <v>160621.48761506376</v>
      </c>
      <c r="L16" s="164">
        <f t="shared" si="1"/>
        <v>1236374.3035116184</v>
      </c>
      <c r="M16" s="165">
        <f t="shared" si="1"/>
        <v>1342155.0628897138</v>
      </c>
      <c r="N16" s="165">
        <f t="shared" si="0"/>
        <v>5611103.9096107837</v>
      </c>
      <c r="O16" s="166">
        <v>5.3297584954204107E-2</v>
      </c>
      <c r="P16" s="166">
        <v>3.0197943610386749E-2</v>
      </c>
      <c r="Q16" s="167">
        <v>4.1665585619110768E-2</v>
      </c>
      <c r="R16" s="166">
        <v>7.8560516395876773E-3</v>
      </c>
      <c r="S16" s="166">
        <v>8.0892135684707614E-2</v>
      </c>
      <c r="T16" s="167">
        <v>4.3553890440550545E-2</v>
      </c>
      <c r="U16" s="167">
        <f t="shared" si="2"/>
        <v>4.2116638990557217E-2</v>
      </c>
    </row>
    <row r="17" spans="6:21" x14ac:dyDescent="0.35">
      <c r="F17" s="160" t="s">
        <v>248</v>
      </c>
      <c r="G17" s="161">
        <v>2034</v>
      </c>
      <c r="H17" s="164">
        <f t="shared" si="1"/>
        <v>2800748.2923097988</v>
      </c>
      <c r="I17" s="164">
        <f t="shared" si="1"/>
        <v>1697709.0591736573</v>
      </c>
      <c r="J17" s="165">
        <f t="shared" si="1"/>
        <v>4468621.2989373123</v>
      </c>
      <c r="K17" s="164">
        <f t="shared" si="1"/>
        <v>160227.07443469559</v>
      </c>
      <c r="L17" s="164">
        <f t="shared" si="1"/>
        <v>1351102.5340250272</v>
      </c>
      <c r="M17" s="165">
        <f t="shared" si="1"/>
        <v>1403579.2567284775</v>
      </c>
      <c r="N17" s="165">
        <f t="shared" si="0"/>
        <v>5872200.5556657901</v>
      </c>
      <c r="O17" s="166">
        <v>6.1821427286272733E-2</v>
      </c>
      <c r="P17" s="166">
        <v>3.1604974288212261E-2</v>
      </c>
      <c r="Q17" s="167">
        <v>4.677321265388517E-2</v>
      </c>
      <c r="R17" s="166">
        <v>-2.4555443124358429E-3</v>
      </c>
      <c r="S17" s="166">
        <v>9.2794091714419727E-2</v>
      </c>
      <c r="T17" s="167">
        <v>4.5765348235184626E-2</v>
      </c>
      <c r="U17" s="167">
        <f t="shared" si="2"/>
        <v>4.653213525555927E-2</v>
      </c>
    </row>
    <row r="18" spans="6:21" x14ac:dyDescent="0.35">
      <c r="F18" s="160" t="s">
        <v>248</v>
      </c>
      <c r="G18" s="161">
        <v>2035</v>
      </c>
      <c r="H18" s="164">
        <f t="shared" si="1"/>
        <v>2957447.8614457319</v>
      </c>
      <c r="I18" s="164">
        <f t="shared" si="1"/>
        <v>1750654.6475225028</v>
      </c>
      <c r="J18" s="165">
        <f t="shared" si="1"/>
        <v>4664327.761613627</v>
      </c>
      <c r="K18" s="164">
        <f t="shared" si="1"/>
        <v>160801.27367730648</v>
      </c>
      <c r="L18" s="164">
        <f t="shared" si="1"/>
        <v>1461606.0289220887</v>
      </c>
      <c r="M18" s="165">
        <f t="shared" si="1"/>
        <v>1466677.8715873691</v>
      </c>
      <c r="N18" s="165">
        <f t="shared" si="0"/>
        <v>6131005.6332009956</v>
      </c>
      <c r="O18" s="166">
        <v>5.5949179569686362E-2</v>
      </c>
      <c r="P18" s="166">
        <v>3.1186491031988783E-2</v>
      </c>
      <c r="Q18" s="167">
        <v>4.3795714513300943E-2</v>
      </c>
      <c r="R18" s="166">
        <v>3.5836592825322176E-3</v>
      </c>
      <c r="S18" s="166">
        <v>8.1787645359426703E-2</v>
      </c>
      <c r="T18" s="167">
        <v>4.4955505402640678E-2</v>
      </c>
      <c r="U18" s="167">
        <f t="shared" si="2"/>
        <v>4.4072928892985024E-2</v>
      </c>
    </row>
    <row r="19" spans="6:21" x14ac:dyDescent="0.35">
      <c r="F19" s="160" t="s">
        <v>248</v>
      </c>
      <c r="G19" s="161">
        <v>2036</v>
      </c>
      <c r="H19" s="164">
        <f t="shared" si="1"/>
        <v>3110701.5044907932</v>
      </c>
      <c r="I19" s="164">
        <f t="shared" si="1"/>
        <v>1805208.8271864597</v>
      </c>
      <c r="J19" s="165">
        <f t="shared" si="1"/>
        <v>4859312.6855073981</v>
      </c>
      <c r="K19" s="164">
        <f t="shared" si="1"/>
        <v>162257.49453528249</v>
      </c>
      <c r="L19" s="164">
        <f t="shared" si="1"/>
        <v>1569938.4839762908</v>
      </c>
      <c r="M19" s="165">
        <f t="shared" si="1"/>
        <v>1532222.3123867474</v>
      </c>
      <c r="N19" s="165">
        <f t="shared" si="0"/>
        <v>6391534.9978941455</v>
      </c>
      <c r="O19" s="166">
        <v>5.1819558695497793E-2</v>
      </c>
      <c r="P19" s="166">
        <v>3.116215967618793E-2</v>
      </c>
      <c r="Q19" s="167">
        <v>4.1803435319973221E-2</v>
      </c>
      <c r="R19" s="166">
        <v>9.0560281313337709E-3</v>
      </c>
      <c r="S19" s="166">
        <v>7.4118779555182493E-2</v>
      </c>
      <c r="T19" s="167">
        <v>4.4689050042351991E-2</v>
      </c>
      <c r="U19" s="167">
        <f t="shared" si="2"/>
        <v>4.2493740877078211E-2</v>
      </c>
    </row>
    <row r="20" spans="6:21" x14ac:dyDescent="0.35">
      <c r="F20" s="160" t="s">
        <v>248</v>
      </c>
      <c r="G20" s="161">
        <v>2037</v>
      </c>
      <c r="H20" s="164">
        <f t="shared" si="1"/>
        <v>3281082.6471083644</v>
      </c>
      <c r="I20" s="164">
        <f t="shared" si="1"/>
        <v>1859750.0762435738</v>
      </c>
      <c r="J20" s="165">
        <f t="shared" si="1"/>
        <v>5068195.9297411861</v>
      </c>
      <c r="K20" s="164">
        <f t="shared" si="1"/>
        <v>162130.33750813155</v>
      </c>
      <c r="L20" s="164">
        <f t="shared" si="1"/>
        <v>1691497.7127133796</v>
      </c>
      <c r="M20" s="165">
        <f t="shared" si="1"/>
        <v>1598503.2543841822</v>
      </c>
      <c r="N20" s="165">
        <f t="shared" si="0"/>
        <v>6666699.1841253685</v>
      </c>
      <c r="O20" s="166">
        <v>5.4772578587691183E-2</v>
      </c>
      <c r="P20" s="166">
        <v>3.0213262995240495E-2</v>
      </c>
      <c r="Q20" s="167">
        <v>4.2986170627951147E-2</v>
      </c>
      <c r="R20" s="166">
        <v>-7.8367429199581028E-4</v>
      </c>
      <c r="S20" s="166">
        <v>7.742929419069168E-2</v>
      </c>
      <c r="T20" s="167">
        <v>4.3258045168516605E-2</v>
      </c>
      <c r="U20" s="167">
        <f t="shared" si="2"/>
        <v>4.3051346244976023E-2</v>
      </c>
    </row>
    <row r="21" spans="6:21" x14ac:dyDescent="0.35">
      <c r="F21" s="160" t="s">
        <v>248</v>
      </c>
      <c r="G21" s="161">
        <v>2038</v>
      </c>
      <c r="H21" s="164">
        <f t="shared" ref="H21:M33" si="3">H20*(1+O21)</f>
        <v>3488070.0368247437</v>
      </c>
      <c r="I21" s="164">
        <f t="shared" si="3"/>
        <v>1917348.9692952735</v>
      </c>
      <c r="J21" s="165">
        <f t="shared" si="3"/>
        <v>5310769.4878609702</v>
      </c>
      <c r="K21" s="164">
        <f t="shared" si="3"/>
        <v>159558.98841855614</v>
      </c>
      <c r="L21" s="164">
        <f t="shared" si="3"/>
        <v>1841197.7336957874</v>
      </c>
      <c r="M21" s="165">
        <f t="shared" si="3"/>
        <v>1670165.5524992943</v>
      </c>
      <c r="N21" s="165">
        <f t="shared" si="0"/>
        <v>6980935.0403602645</v>
      </c>
      <c r="O21" s="166">
        <v>6.3085088666937073E-2</v>
      </c>
      <c r="P21" s="166">
        <v>3.097130834270008E-2</v>
      </c>
      <c r="Q21" s="167">
        <v>4.786191407800823E-2</v>
      </c>
      <c r="R21" s="166">
        <v>-1.5859765230220722E-2</v>
      </c>
      <c r="S21" s="166">
        <v>8.8501462258716176E-2</v>
      </c>
      <c r="T21" s="167">
        <v>4.4830874080841285E-2</v>
      </c>
      <c r="U21" s="167">
        <f t="shared" si="2"/>
        <v>4.7135148527947549E-2</v>
      </c>
    </row>
    <row r="22" spans="6:21" x14ac:dyDescent="0.35">
      <c r="F22" s="160" t="s">
        <v>248</v>
      </c>
      <c r="G22" s="161">
        <v>2039</v>
      </c>
      <c r="H22" s="164">
        <f t="shared" si="3"/>
        <v>3660193.8750060587</v>
      </c>
      <c r="I22" s="164">
        <f t="shared" si="3"/>
        <v>1975575.8334361897</v>
      </c>
      <c r="J22" s="165">
        <f t="shared" si="3"/>
        <v>5525829.8310219431</v>
      </c>
      <c r="K22" s="164">
        <f t="shared" si="3"/>
        <v>160538.423358136</v>
      </c>
      <c r="L22" s="164">
        <f t="shared" si="3"/>
        <v>1965033.8006509722</v>
      </c>
      <c r="M22" s="165">
        <f t="shared" si="3"/>
        <v>1742263.2629407155</v>
      </c>
      <c r="N22" s="165">
        <f t="shared" si="0"/>
        <v>7268093.0939626582</v>
      </c>
      <c r="O22" s="166">
        <v>4.9346439826077185E-2</v>
      </c>
      <c r="P22" s="166">
        <v>3.036842279280947E-2</v>
      </c>
      <c r="Q22" s="167">
        <v>4.0495137974364194E-2</v>
      </c>
      <c r="R22" s="166">
        <v>6.1383877479254736E-3</v>
      </c>
      <c r="S22" s="166">
        <v>6.725842895027459E-2</v>
      </c>
      <c r="T22" s="167">
        <v>4.3168002317813176E-2</v>
      </c>
      <c r="U22" s="167">
        <f t="shared" si="2"/>
        <v>4.1134611902587534E-2</v>
      </c>
    </row>
    <row r="23" spans="6:21" x14ac:dyDescent="0.35">
      <c r="F23" s="160" t="s">
        <v>248</v>
      </c>
      <c r="G23" s="161">
        <v>2040</v>
      </c>
      <c r="H23" s="164">
        <f t="shared" si="3"/>
        <v>3810001.1494448539</v>
      </c>
      <c r="I23" s="164">
        <f t="shared" si="3"/>
        <v>2035009.2649693324</v>
      </c>
      <c r="J23" s="165">
        <f t="shared" si="3"/>
        <v>5724318.0644835355</v>
      </c>
      <c r="K23" s="164">
        <f t="shared" si="3"/>
        <v>164013.99100915785</v>
      </c>
      <c r="L23" s="164">
        <f t="shared" si="3"/>
        <v>2072116.2430839089</v>
      </c>
      <c r="M23" s="165">
        <f t="shared" si="3"/>
        <v>1815451.9787183837</v>
      </c>
      <c r="N23" s="165">
        <f t="shared" si="0"/>
        <v>7539770.0432019196</v>
      </c>
      <c r="O23" s="166">
        <v>4.0928781248929562E-2</v>
      </c>
      <c r="P23" s="166">
        <v>3.0084105366771939E-2</v>
      </c>
      <c r="Q23" s="167">
        <v>3.5920077080057976E-2</v>
      </c>
      <c r="R23" s="166">
        <v>2.1649444278323181E-2</v>
      </c>
      <c r="S23" s="166">
        <v>5.4493944275901353E-2</v>
      </c>
      <c r="T23" s="167">
        <v>4.2007839649982052E-2</v>
      </c>
      <c r="U23" s="167">
        <f t="shared" si="2"/>
        <v>3.7379398657528706E-2</v>
      </c>
    </row>
    <row r="24" spans="6:21" x14ac:dyDescent="0.35">
      <c r="F24" s="160" t="s">
        <v>248</v>
      </c>
      <c r="G24" s="161">
        <v>2041</v>
      </c>
      <c r="H24" s="164">
        <f t="shared" si="3"/>
        <v>3983461.5212095343</v>
      </c>
      <c r="I24" s="164">
        <f t="shared" si="3"/>
        <v>2093660.6969971447</v>
      </c>
      <c r="J24" s="165">
        <f t="shared" si="3"/>
        <v>5941012.7364680814</v>
      </c>
      <c r="K24" s="164">
        <f t="shared" si="3"/>
        <v>165071.75793119549</v>
      </c>
      <c r="L24" s="164">
        <f t="shared" si="3"/>
        <v>2197509.0278794602</v>
      </c>
      <c r="M24" s="165">
        <f t="shared" si="3"/>
        <v>1888728.3931301979</v>
      </c>
      <c r="N24" s="165">
        <f t="shared" si="0"/>
        <v>7829741.1295982795</v>
      </c>
      <c r="O24" s="166">
        <v>4.5527642895844052E-2</v>
      </c>
      <c r="P24" s="166">
        <v>2.8821211302296427E-2</v>
      </c>
      <c r="Q24" s="167">
        <v>3.7855106851770841E-2</v>
      </c>
      <c r="R24" s="166">
        <v>6.4492481130989333E-3</v>
      </c>
      <c r="S24" s="166">
        <v>6.0514358310772329E-2</v>
      </c>
      <c r="T24" s="167">
        <v>4.0362628849893105E-2</v>
      </c>
      <c r="U24" s="167">
        <f t="shared" si="2"/>
        <v>3.8458876694496325E-2</v>
      </c>
    </row>
    <row r="25" spans="6:21" x14ac:dyDescent="0.35">
      <c r="F25" s="160" t="s">
        <v>248</v>
      </c>
      <c r="G25" s="161">
        <v>2042</v>
      </c>
      <c r="H25" s="164">
        <f t="shared" si="3"/>
        <v>4175895.5552498186</v>
      </c>
      <c r="I25" s="164">
        <f t="shared" si="3"/>
        <v>2156322.0389790894</v>
      </c>
      <c r="J25" s="165">
        <f t="shared" si="3"/>
        <v>6178302.5335661964</v>
      </c>
      <c r="K25" s="164">
        <f t="shared" si="3"/>
        <v>165658.60014379889</v>
      </c>
      <c r="L25" s="164">
        <f t="shared" si="3"/>
        <v>2337815.6570541472</v>
      </c>
      <c r="M25" s="165">
        <f t="shared" si="3"/>
        <v>1968258.1391042094</v>
      </c>
      <c r="N25" s="165">
        <f t="shared" si="0"/>
        <v>8146560.6726704054</v>
      </c>
      <c r="O25" s="166">
        <v>4.8308244730290321E-2</v>
      </c>
      <c r="P25" s="166">
        <v>2.9929081666297284E-2</v>
      </c>
      <c r="Q25" s="167">
        <v>3.9940967579743615E-2</v>
      </c>
      <c r="R25" s="166">
        <v>3.5550733811656539E-3</v>
      </c>
      <c r="S25" s="166">
        <v>6.3848033111417665E-2</v>
      </c>
      <c r="T25" s="167">
        <v>4.2107560972388755E-2</v>
      </c>
      <c r="U25" s="167">
        <f t="shared" si="2"/>
        <v>4.0463603818837998E-2</v>
      </c>
    </row>
    <row r="26" spans="6:21" x14ac:dyDescent="0.35">
      <c r="F26" s="160" t="s">
        <v>248</v>
      </c>
      <c r="G26" s="161">
        <v>2043</v>
      </c>
      <c r="H26" s="164">
        <f t="shared" si="3"/>
        <v>4377718.1342952317</v>
      </c>
      <c r="I26" s="164">
        <f t="shared" si="3"/>
        <v>2221278.2206376544</v>
      </c>
      <c r="J26" s="165">
        <f t="shared" si="3"/>
        <v>6426184.5298655918</v>
      </c>
      <c r="K26" s="164">
        <f t="shared" si="3"/>
        <v>166142.39201924979</v>
      </c>
      <c r="L26" s="164">
        <f t="shared" si="3"/>
        <v>2485754.2492398657</v>
      </c>
      <c r="M26" s="165">
        <f t="shared" si="3"/>
        <v>2051557.0424956249</v>
      </c>
      <c r="N26" s="165">
        <f t="shared" si="0"/>
        <v>8477741.5723612159</v>
      </c>
      <c r="O26" s="166">
        <v>4.8330370425976439E-2</v>
      </c>
      <c r="P26" s="166">
        <v>3.012359957574734E-2</v>
      </c>
      <c r="Q26" s="167">
        <v>4.0121375564351705E-2</v>
      </c>
      <c r="R26" s="166">
        <v>2.9204150888088335E-3</v>
      </c>
      <c r="S26" s="166">
        <v>6.3280691845538486E-2</v>
      </c>
      <c r="T26" s="167">
        <v>4.2321127364587506E-2</v>
      </c>
      <c r="U26" s="167">
        <f t="shared" si="2"/>
        <v>4.0652848852134188E-2</v>
      </c>
    </row>
    <row r="27" spans="6:21" x14ac:dyDescent="0.35">
      <c r="F27" s="160" t="s">
        <v>248</v>
      </c>
      <c r="G27" s="161">
        <v>2044</v>
      </c>
      <c r="H27" s="164">
        <f t="shared" si="3"/>
        <v>4572489.3956898395</v>
      </c>
      <c r="I27" s="164">
        <f t="shared" si="3"/>
        <v>2286682.3918286692</v>
      </c>
      <c r="J27" s="165">
        <f t="shared" si="3"/>
        <v>6668916.5064939195</v>
      </c>
      <c r="K27" s="164">
        <f t="shared" si="3"/>
        <v>167453.13650294929</v>
      </c>
      <c r="L27" s="164">
        <f t="shared" si="3"/>
        <v>2628530.9705923535</v>
      </c>
      <c r="M27" s="165">
        <f t="shared" si="3"/>
        <v>2135430.8957209596</v>
      </c>
      <c r="N27" s="165">
        <f t="shared" si="0"/>
        <v>8804347.4022148792</v>
      </c>
      <c r="O27" s="166">
        <v>4.4491503431607855E-2</v>
      </c>
      <c r="P27" s="166">
        <v>2.9444385031713701E-2</v>
      </c>
      <c r="Q27" s="167">
        <v>3.7772332166969985E-2</v>
      </c>
      <c r="R27" s="166">
        <v>7.8892838111277522E-3</v>
      </c>
      <c r="S27" s="166">
        <v>5.7437987442301996E-2</v>
      </c>
      <c r="T27" s="167">
        <v>4.0883022742231968E-2</v>
      </c>
      <c r="U27" s="167">
        <f t="shared" si="2"/>
        <v>3.8525098585034737E-2</v>
      </c>
    </row>
    <row r="28" spans="6:21" x14ac:dyDescent="0.35">
      <c r="F28" s="160" t="s">
        <v>248</v>
      </c>
      <c r="G28" s="161">
        <v>2045</v>
      </c>
      <c r="H28" s="164">
        <f t="shared" si="3"/>
        <v>4766467.3251703279</v>
      </c>
      <c r="I28" s="164">
        <f t="shared" si="3"/>
        <v>2352545.2453758903</v>
      </c>
      <c r="J28" s="165">
        <f t="shared" si="3"/>
        <v>6911596.4999477286</v>
      </c>
      <c r="K28" s="164">
        <f t="shared" si="3"/>
        <v>169008.69358252105</v>
      </c>
      <c r="L28" s="164">
        <f t="shared" si="3"/>
        <v>2770915.5629820107</v>
      </c>
      <c r="M28" s="165">
        <f t="shared" si="3"/>
        <v>2220099.2725371933</v>
      </c>
      <c r="N28" s="165">
        <f t="shared" si="0"/>
        <v>9131695.7724849209</v>
      </c>
      <c r="O28" s="166">
        <v>4.2422827631560522E-2</v>
      </c>
      <c r="P28" s="166">
        <v>2.8802799104317454E-2</v>
      </c>
      <c r="Q28" s="167">
        <v>3.6389718362420213E-2</v>
      </c>
      <c r="R28" s="166">
        <v>9.28950697525085E-3</v>
      </c>
      <c r="S28" s="166">
        <v>5.4168885199617836E-2</v>
      </c>
      <c r="T28" s="167">
        <v>3.9649317140580218E-2</v>
      </c>
      <c r="U28" s="167">
        <f t="shared" si="2"/>
        <v>3.7180310512019532E-2</v>
      </c>
    </row>
    <row r="29" spans="6:21" x14ac:dyDescent="0.35">
      <c r="F29" s="160" t="s">
        <v>248</v>
      </c>
      <c r="G29" s="161">
        <v>2046</v>
      </c>
      <c r="H29" s="164">
        <f t="shared" si="3"/>
        <v>4958200.1294453116</v>
      </c>
      <c r="I29" s="164">
        <f t="shared" si="3"/>
        <v>2419647.0402405886</v>
      </c>
      <c r="J29" s="165">
        <f t="shared" si="3"/>
        <v>7154052.9974987227</v>
      </c>
      <c r="K29" s="164">
        <f t="shared" si="3"/>
        <v>171172.27588573139</v>
      </c>
      <c r="L29" s="164">
        <f t="shared" si="3"/>
        <v>2911691.5682828948</v>
      </c>
      <c r="M29" s="165">
        <f t="shared" si="3"/>
        <v>2306392.1529093953</v>
      </c>
      <c r="N29" s="165">
        <f t="shared" si="0"/>
        <v>9460445.150408119</v>
      </c>
      <c r="O29" s="166">
        <v>4.0225347452294176E-2</v>
      </c>
      <c r="P29" s="166">
        <v>2.8523062413610172E-2</v>
      </c>
      <c r="Q29" s="167">
        <v>3.5079666116624213E-2</v>
      </c>
      <c r="R29" s="166">
        <v>1.2801603617827792E-2</v>
      </c>
      <c r="S29" s="166">
        <v>5.0804870123643681E-2</v>
      </c>
      <c r="T29" s="167">
        <v>3.8868928718482E-2</v>
      </c>
      <c r="U29" s="167">
        <f t="shared" si="2"/>
        <v>3.6000912219805441E-2</v>
      </c>
    </row>
    <row r="30" spans="6:21" x14ac:dyDescent="0.35">
      <c r="F30" s="160" t="s">
        <v>248</v>
      </c>
      <c r="G30" s="161">
        <v>2047</v>
      </c>
      <c r="H30" s="164">
        <f t="shared" si="3"/>
        <v>5117505.5167113896</v>
      </c>
      <c r="I30" s="164">
        <f t="shared" si="3"/>
        <v>2485661.9651003289</v>
      </c>
      <c r="J30" s="165">
        <f t="shared" si="3"/>
        <v>7368760.1672907025</v>
      </c>
      <c r="K30" s="164">
        <f t="shared" si="3"/>
        <v>175911.55887129507</v>
      </c>
      <c r="L30" s="164">
        <f t="shared" si="3"/>
        <v>3026844.6114835646</v>
      </c>
      <c r="M30" s="165">
        <f t="shared" si="3"/>
        <v>2389229.9731900976</v>
      </c>
      <c r="N30" s="165">
        <f t="shared" si="0"/>
        <v>9757990.1404807996</v>
      </c>
      <c r="O30" s="166">
        <v>3.2129680752499216E-2</v>
      </c>
      <c r="P30" s="166">
        <v>2.728287380839501E-2</v>
      </c>
      <c r="Q30" s="167">
        <v>3.0011962431232792E-2</v>
      </c>
      <c r="R30" s="166">
        <v>2.7687211384204821E-2</v>
      </c>
      <c r="S30" s="166">
        <v>3.954850316394562E-2</v>
      </c>
      <c r="T30" s="167">
        <v>3.5916624228974611E-2</v>
      </c>
      <c r="U30" s="167">
        <f t="shared" si="2"/>
        <v>3.1451478798526167E-2</v>
      </c>
    </row>
    <row r="31" spans="6:21" x14ac:dyDescent="0.35">
      <c r="F31" s="160" t="s">
        <v>248</v>
      </c>
      <c r="G31" s="161">
        <v>2048</v>
      </c>
      <c r="H31" s="164">
        <f t="shared" si="3"/>
        <v>5266790.8063743785</v>
      </c>
      <c r="I31" s="164">
        <f t="shared" si="3"/>
        <v>2551325.1554067046</v>
      </c>
      <c r="J31" s="165">
        <f t="shared" si="3"/>
        <v>7574872.2441417538</v>
      </c>
      <c r="K31" s="164">
        <f t="shared" si="3"/>
        <v>181406.09056969333</v>
      </c>
      <c r="L31" s="164">
        <f t="shared" si="3"/>
        <v>3133812.0175859029</v>
      </c>
      <c r="M31" s="165">
        <f t="shared" si="3"/>
        <v>2470685.1361027672</v>
      </c>
      <c r="N31" s="165">
        <f t="shared" si="0"/>
        <v>10045557.380244521</v>
      </c>
      <c r="O31" s="166">
        <v>2.917149559985666E-2</v>
      </c>
      <c r="P31" s="166">
        <v>2.641678201956368E-2</v>
      </c>
      <c r="Q31" s="167">
        <v>2.7971065982845312E-2</v>
      </c>
      <c r="R31" s="166">
        <v>3.1234625704262626E-2</v>
      </c>
      <c r="S31" s="166">
        <v>3.5339576302170939E-2</v>
      </c>
      <c r="T31" s="167">
        <v>3.40926423268961E-2</v>
      </c>
      <c r="U31" s="167">
        <f t="shared" si="2"/>
        <v>2.9469925222690652E-2</v>
      </c>
    </row>
    <row r="32" spans="6:21" x14ac:dyDescent="0.35">
      <c r="F32" s="160" t="s">
        <v>248</v>
      </c>
      <c r="G32" s="161">
        <v>2049</v>
      </c>
      <c r="H32" s="164">
        <f t="shared" si="3"/>
        <v>5454913.9934349917</v>
      </c>
      <c r="I32" s="164">
        <f t="shared" si="3"/>
        <v>2615554.0346646835</v>
      </c>
      <c r="J32" s="165">
        <f t="shared" si="3"/>
        <v>7810684.7724767793</v>
      </c>
      <c r="K32" s="164">
        <f t="shared" si="3"/>
        <v>182970.14754710573</v>
      </c>
      <c r="L32" s="164">
        <f t="shared" si="3"/>
        <v>3271491.1570815914</v>
      </c>
      <c r="M32" s="165">
        <f t="shared" si="3"/>
        <v>2552802.5956344232</v>
      </c>
      <c r="N32" s="165">
        <f t="shared" si="0"/>
        <v>10363487.368111202</v>
      </c>
      <c r="O32" s="166">
        <v>3.5718750559245345E-2</v>
      </c>
      <c r="P32" s="166">
        <v>2.5174713274733557E-2</v>
      </c>
      <c r="Q32" s="167">
        <v>3.1130891813706593E-2</v>
      </c>
      <c r="R32" s="166">
        <v>8.6218548258252953E-3</v>
      </c>
      <c r="S32" s="166">
        <v>4.3933439122410427E-2</v>
      </c>
      <c r="T32" s="167">
        <v>3.3236715731890902E-2</v>
      </c>
      <c r="U32" s="167">
        <f t="shared" si="2"/>
        <v>3.164881507639572E-2</v>
      </c>
    </row>
    <row r="33" spans="6:21" x14ac:dyDescent="0.35">
      <c r="F33" s="160" t="s">
        <v>248</v>
      </c>
      <c r="G33" s="161">
        <v>2050</v>
      </c>
      <c r="H33" s="164">
        <f t="shared" si="3"/>
        <v>5638043.1463656183</v>
      </c>
      <c r="I33" s="164">
        <f t="shared" si="3"/>
        <v>2680744.0311761224</v>
      </c>
      <c r="J33" s="165">
        <f t="shared" si="3"/>
        <v>8043681.5804765364</v>
      </c>
      <c r="K33" s="164">
        <f t="shared" si="3"/>
        <v>185254.15818604577</v>
      </c>
      <c r="L33" s="164">
        <f t="shared" si="3"/>
        <v>3405023.1508913129</v>
      </c>
      <c r="M33" s="165">
        <f t="shared" si="3"/>
        <v>2635611.2225534176</v>
      </c>
      <c r="N33" s="165">
        <f t="shared" si="0"/>
        <v>10679292.803029954</v>
      </c>
      <c r="O33" s="166">
        <v>3.3571409769434207E-2</v>
      </c>
      <c r="P33" s="166">
        <v>2.4923972377346157E-2</v>
      </c>
      <c r="Q33" s="167">
        <v>2.9830522519714138E-2</v>
      </c>
      <c r="R33" s="166">
        <v>1.2482968776925828E-2</v>
      </c>
      <c r="S33" s="166">
        <v>4.0816859162426083E-2</v>
      </c>
      <c r="T33" s="167">
        <v>3.2438319774747322E-2</v>
      </c>
      <c r="U33" s="167">
        <f t="shared" si="2"/>
        <v>3.0472892348042593E-2</v>
      </c>
    </row>
    <row r="34" spans="6:21" x14ac:dyDescent="0.35">
      <c r="F34" s="159"/>
      <c r="G34" s="159"/>
      <c r="H34" s="159"/>
      <c r="I34" s="159"/>
      <c r="J34" s="159"/>
      <c r="K34" s="159"/>
      <c r="L34" s="159"/>
      <c r="M34" s="159"/>
      <c r="N34" s="159"/>
      <c r="O34" s="159"/>
      <c r="P34" s="159"/>
      <c r="Q34" s="159"/>
      <c r="R34" s="159"/>
      <c r="S34" s="159"/>
      <c r="T34" s="159"/>
      <c r="U34" s="168">
        <f>AVERAGE(U4:U33)</f>
        <v>5.2679102122483591E-2</v>
      </c>
    </row>
  </sheetData>
  <mergeCells count="1">
    <mergeCell ref="B13:C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26</vt:i4>
      </vt:variant>
    </vt:vector>
  </HeadingPairs>
  <TitlesOfParts>
    <vt:vector size="35" baseType="lpstr">
      <vt:lpstr>Instructions</vt:lpstr>
      <vt:lpstr>ITS Delay Worksheet</vt:lpstr>
      <vt:lpstr>Emissions Reduction Worksheet</vt:lpstr>
      <vt:lpstr>Inputs &amp; Outputs</vt:lpstr>
      <vt:lpstr>Calculations</vt:lpstr>
      <vt:lpstr>Assumed Values</vt:lpstr>
      <vt:lpstr>Value of Travel Time</vt:lpstr>
      <vt:lpstr>Delay Reduction Factors</vt:lpstr>
      <vt:lpstr>Growth Rates</vt:lpstr>
      <vt:lpstr>_20_2030_V_C_Growth</vt:lpstr>
      <vt:lpstr>_20_2045_Demand_Growth</vt:lpstr>
      <vt:lpstr>_20_2045_V_C_Growth</vt:lpstr>
      <vt:lpstr>_20_V_C_Ratio</vt:lpstr>
      <vt:lpstr>_2045_V_C_Ratio</vt:lpstr>
      <vt:lpstr>_30_2045_Demand_Growth</vt:lpstr>
      <vt:lpstr>_30_2045_V_C_Growth</vt:lpstr>
      <vt:lpstr>_30_V_C_Ratio</vt:lpstr>
      <vt:lpstr>_Facility_Type</vt:lpstr>
      <vt:lpstr>Annual_Days_of_Travel</vt:lpstr>
      <vt:lpstr>Base_Year</vt:lpstr>
      <vt:lpstr>County</vt:lpstr>
      <vt:lpstr>FacilityType</vt:lpstr>
      <vt:lpstr>'Assumed Values'!Print_Area</vt:lpstr>
      <vt:lpstr>Calculations!Print_Area</vt:lpstr>
      <vt:lpstr>'Emissions Reduction Worksheet'!Print_Area</vt:lpstr>
      <vt:lpstr>'Inputs &amp; Outputs'!Print_Area</vt:lpstr>
      <vt:lpstr>Instructions!Print_Area</vt:lpstr>
      <vt:lpstr>'ITS Delay Worksheet'!Print_Area</vt:lpstr>
      <vt:lpstr>ProjectTitle</vt:lpstr>
      <vt:lpstr>Real_wage_growth_rate</vt:lpstr>
      <vt:lpstr>Value_of_Delay_Savings__2020_____000s</vt:lpstr>
      <vt:lpstr>Value_of_Travel_Time__VoTT___2020</vt:lpstr>
      <vt:lpstr>Vehicle_Occupancy</vt:lpstr>
      <vt:lpstr>Year_Open_to_Traffic?</vt:lpstr>
      <vt:lpstr>Years_to_include_in_BCA_Analysis</vt:lpstr>
    </vt:vector>
  </TitlesOfParts>
  <Company>Houston-Galveston Area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wurdlow</dc:creator>
  <cp:lastModifiedBy>Bridget Elmore</cp:lastModifiedBy>
  <cp:lastPrinted>2018-07-16T14:36:56Z</cp:lastPrinted>
  <dcterms:created xsi:type="dcterms:W3CDTF">2012-07-25T15:48:32Z</dcterms:created>
  <dcterms:modified xsi:type="dcterms:W3CDTF">2023-08-10T11:07:27Z</dcterms:modified>
</cp:coreProperties>
</file>