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45" windowWidth="15645" windowHeight="7980" tabRatio="763" activeTab="3"/>
  </bookViews>
  <sheets>
    <sheet name="Instructions" sheetId="8" r:id="rId1"/>
    <sheet name="ITS Delay Worksheet" sheetId="7" state="hidden" r:id="rId2"/>
    <sheet name="Emissions Reduction Worksheet" sheetId="5" state="hidden" r:id="rId3"/>
    <sheet name="Inputs &amp; Outputs" sheetId="11" r:id="rId4"/>
    <sheet name="CRASH" sheetId="13" r:id="rId5"/>
    <sheet name="Calculations" sheetId="12" r:id="rId6"/>
    <sheet name="Assumed Values" sheetId="2" r:id="rId7"/>
    <sheet name="Value of Travel Time" sheetId="1" r:id="rId8"/>
    <sheet name="Value of Statistical Life" sheetId="9" r:id="rId9"/>
    <sheet name="Value of Emissions" sheetId="6" r:id="rId10"/>
    <sheet name="GDP Deflators" sheetId="4" r:id="rId11"/>
    <sheet name="CRASH SUM" sheetId="14" r:id="rId12"/>
  </sheets>
  <definedNames>
    <definedName name="_2018_2025_Demand_Growth">Calculations!$E$4</definedName>
    <definedName name="_2018_2025_V_C_Growth">Calculations!$E$10</definedName>
    <definedName name="_2018_2040_Demand_Growth">Calculations!$E$6</definedName>
    <definedName name="_2018_2040_V_C_Growth">Calculations!$E$12</definedName>
    <definedName name="_2018_Capacity">'Inputs &amp; Outputs'!$B$17</definedName>
    <definedName name="_2018_V_C_Ratio">Calculations!$E$7</definedName>
    <definedName name="_2018_Volume">'Inputs &amp; Outputs'!$B$16</definedName>
    <definedName name="_2025_2040_Demand_Growth">Calculations!$E$5</definedName>
    <definedName name="_2025_2040_V_C_Growth">Calculations!$E$11</definedName>
    <definedName name="_2025_Capacity">'Inputs &amp; Outputs'!$B$19</definedName>
    <definedName name="_2025_V_C_Ratio">Calculations!$E$8</definedName>
    <definedName name="_2025_Volume">'Inputs &amp; Outputs'!$B$18</definedName>
    <definedName name="_2040_Capacity">'Inputs &amp; Outputs'!$B$21</definedName>
    <definedName name="_2040_V_C_Ratio">Calculations!$E$9</definedName>
    <definedName name="_2040_Volume">'Inputs &amp; Outputs'!$B$20</definedName>
    <definedName name="Annual_Days_of_Travel">Calculations!#REF!</definedName>
    <definedName name="Application_ID_Number">'Inputs &amp; Outputs'!$B$7</definedName>
    <definedName name="Appropriate_Crash_Reduction_Factor">'Inputs &amp; Outputs'!$B$12</definedName>
    <definedName name="Avg_Death_Cnt">'Inputs &amp; Outputs'!$H$10</definedName>
    <definedName name="Avg_Incap_Injry_Cnt">'Inputs &amp; Outputs'!$H$11</definedName>
    <definedName name="Avg_Non_Injry_Cnt">'Inputs &amp; Outputs'!$H$14</definedName>
    <definedName name="Avg_Nonincap_Injry_Cnt">'Inputs &amp; Outputs'!$H$12</definedName>
    <definedName name="Avg_Poss_Injry_Cnt">'Inputs &amp; Outputs'!$H$13</definedName>
    <definedName name="Avg_Unkn_Injry_Cnt">'Inputs &amp; Outputs'!$H$15</definedName>
    <definedName name="Base_Year">Calculations!$B$4</definedName>
    <definedName name="Crash_Avg">'Inputs &amp; Outputs'!$H$10:$H$15</definedName>
    <definedName name="Crash_Hist_Reset">'CRASH SUM'!$C$10:$E$16</definedName>
    <definedName name="Crash_Hist_Tab">'CRASH SUM'!$C$2:$E$8</definedName>
    <definedName name="CRIS_Titles">'Inputs &amp; Outputs'!$D$10:$D$15</definedName>
    <definedName name="Discount_Rate">Calculations!#REF!</definedName>
    <definedName name="GDP_Deflator_Future">'Assumed Values'!$C$8</definedName>
    <definedName name="Name">'Inputs &amp; Outputs'!$B$6</definedName>
    <definedName name="Possible_Crash_Reductions">Calculations!$J$17:$J$23</definedName>
    <definedName name="Preventable_Crash_History">'Inputs &amp; Outputs'!$E$9:$G$15</definedName>
    <definedName name="_xlnm.Print_Area" localSheetId="6">'Assumed Values'!$B$2:$C$30</definedName>
    <definedName name="_xlnm.Print_Area" localSheetId="5">Calculations!$A$3:$S$37</definedName>
    <definedName name="_xlnm.Print_Area" localSheetId="2">'Emissions Reduction Worksheet'!$A$3:$K$33</definedName>
    <definedName name="_xlnm.Print_Area" localSheetId="3">'Inputs &amp; Outputs'!$A$3:$H$30</definedName>
    <definedName name="_xlnm.Print_Area" localSheetId="0">Instructions!$A$1:$G$12</definedName>
    <definedName name="_xlnm.Print_Area" localSheetId="1">'ITS Delay Worksheet'!$A$3:$J$33</definedName>
    <definedName name="Service_Life">'Inputs &amp; Outputs'!$B$13</definedName>
    <definedName name="Sponsor_ID_Number__CSJ__etc.">'Inputs &amp; Outputs'!$B$8</definedName>
    <definedName name="Value_of_Delay_Savings__2015_____000s">Calculations!$S$4:$S$36</definedName>
    <definedName name="Value_of_Statistical_Life_2015">'Value of Statistical Life'!$F$5:$F$11</definedName>
    <definedName name="Vehicle_Occupancy">Calculations!#REF!</definedName>
    <definedName name="Year_Open_to_Traffic?">'Inputs &amp; Outputs'!$B$11</definedName>
    <definedName name="Years_to_include_in_BCA_Analysis">Calculations!$B$5</definedName>
  </definedNames>
  <calcPr calcId="152511"/>
</workbook>
</file>

<file path=xl/calcChain.xml><?xml version="1.0" encoding="utf-8"?>
<calcChain xmlns="http://schemas.openxmlformats.org/spreadsheetml/2006/main">
  <c r="H11" i="11" l="1"/>
  <c r="B5" i="12" l="1"/>
  <c r="I24" i="9"/>
  <c r="H24" i="9"/>
  <c r="G24" i="9"/>
  <c r="F24" i="9"/>
  <c r="E24" i="9"/>
  <c r="D24" i="9"/>
  <c r="E2" i="14" l="1"/>
  <c r="D2" i="14" s="1"/>
  <c r="C2" i="14" s="1"/>
  <c r="C4" i="14" s="1"/>
  <c r="E16" i="12"/>
  <c r="E22" i="12" s="1"/>
  <c r="H12" i="11"/>
  <c r="F16" i="12" s="1"/>
  <c r="F18" i="12" s="1"/>
  <c r="H13" i="11"/>
  <c r="G16" i="12" s="1"/>
  <c r="G21" i="12" s="1"/>
  <c r="H14" i="11"/>
  <c r="H16" i="12" s="1"/>
  <c r="H17" i="12" s="1"/>
  <c r="H15" i="11"/>
  <c r="I16" i="12" s="1"/>
  <c r="I17" i="12" s="1"/>
  <c r="H10" i="11"/>
  <c r="D16" i="12" s="1"/>
  <c r="D18" i="12" s="1"/>
  <c r="E9" i="12"/>
  <c r="E8" i="12"/>
  <c r="E7" i="12"/>
  <c r="O4" i="12" s="1"/>
  <c r="P4" i="12" s="1"/>
  <c r="E5" i="12"/>
  <c r="D19" i="1"/>
  <c r="D20" i="1"/>
  <c r="D18" i="1"/>
  <c r="E4" i="12"/>
  <c r="R4" i="12"/>
  <c r="E6" i="12"/>
  <c r="C6" i="14" l="1"/>
  <c r="D4" i="14"/>
  <c r="C5" i="14"/>
  <c r="D5" i="14"/>
  <c r="E3" i="14"/>
  <c r="C3" i="14"/>
  <c r="G18" i="12"/>
  <c r="I22" i="12"/>
  <c r="G23" i="12"/>
  <c r="F22" i="12"/>
  <c r="D17" i="12"/>
  <c r="H20" i="12"/>
  <c r="D20" i="12"/>
  <c r="H19" i="12"/>
  <c r="H21" i="12"/>
  <c r="H18" i="12"/>
  <c r="I19" i="12"/>
  <c r="I21" i="12"/>
  <c r="F23" i="12"/>
  <c r="E17" i="12"/>
  <c r="G17" i="12"/>
  <c r="F21" i="12"/>
  <c r="D19" i="12"/>
  <c r="G20" i="12"/>
  <c r="E23" i="12"/>
  <c r="E20" i="12"/>
  <c r="D21" i="12"/>
  <c r="D23" i="12"/>
  <c r="D22" i="12"/>
  <c r="F20" i="12"/>
  <c r="E19" i="12"/>
  <c r="H23" i="12"/>
  <c r="E18" i="12"/>
  <c r="H22" i="12"/>
  <c r="G22" i="12"/>
  <c r="I18" i="12"/>
  <c r="E21" i="12"/>
  <c r="I20" i="12"/>
  <c r="F17" i="12"/>
  <c r="G19" i="12"/>
  <c r="F19" i="12"/>
  <c r="I23" i="12"/>
  <c r="C7" i="14"/>
  <c r="E7" i="14"/>
  <c r="C8" i="14"/>
  <c r="E8" i="14"/>
  <c r="E6" i="14"/>
  <c r="D7" i="14"/>
  <c r="E4" i="14"/>
  <c r="D8" i="14"/>
  <c r="E5" i="14"/>
  <c r="D3" i="14"/>
  <c r="D6" i="14"/>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E11" i="12"/>
  <c r="E10" i="12"/>
  <c r="E12" i="12"/>
  <c r="M5" i="12"/>
  <c r="R5" i="12" s="1"/>
  <c r="O5" i="12" l="1"/>
  <c r="P5" i="12" s="1"/>
  <c r="J18" i="12"/>
  <c r="J20" i="12"/>
  <c r="J19" i="12"/>
  <c r="J23" i="12"/>
  <c r="J17" i="12"/>
  <c r="J22" i="12"/>
  <c r="J21" i="12"/>
  <c r="M6" i="12"/>
  <c r="R6" i="12" s="1"/>
  <c r="O6" i="12" l="1"/>
  <c r="P6" i="12" s="1"/>
  <c r="M7" i="12"/>
  <c r="R7" i="12" s="1"/>
  <c r="C21" i="2"/>
  <c r="B18" i="5"/>
  <c r="E17" i="5" s="1"/>
  <c r="C22" i="2"/>
  <c r="B19" i="5" s="1"/>
  <c r="E18" i="5" s="1"/>
  <c r="G4" i="7"/>
  <c r="G5" i="7" s="1"/>
  <c r="G4" i="5"/>
  <c r="G5" i="5" s="1"/>
  <c r="G6" i="5" s="1"/>
  <c r="G7" i="5" s="1"/>
  <c r="G8" i="5" s="1"/>
  <c r="G9" i="5" s="1"/>
  <c r="G10" i="5" s="1"/>
  <c r="G11" i="5" s="1"/>
  <c r="G12" i="5" s="1"/>
  <c r="G13" i="5" s="1"/>
  <c r="G14" i="5" s="1"/>
  <c r="B18" i="7"/>
  <c r="B17" i="7"/>
  <c r="B16" i="7"/>
  <c r="E17" i="7"/>
  <c r="O6" i="4"/>
  <c r="K6" i="4"/>
  <c r="I6" i="4"/>
  <c r="B5" i="4"/>
  <c r="C5" i="4"/>
  <c r="D5" i="4"/>
  <c r="E5" i="4"/>
  <c r="F5" i="4"/>
  <c r="G5" i="4"/>
  <c r="H5" i="4"/>
  <c r="B6" i="4"/>
  <c r="C6" i="4"/>
  <c r="D6" i="4"/>
  <c r="E6" i="4"/>
  <c r="F6" i="4"/>
  <c r="G6" i="4"/>
  <c r="H6" i="4"/>
  <c r="J5" i="4"/>
  <c r="K5" i="4"/>
  <c r="L5" i="4"/>
  <c r="M5" i="4"/>
  <c r="N5" i="4"/>
  <c r="I5" i="4"/>
  <c r="J6" i="4"/>
  <c r="L6" i="4"/>
  <c r="M6" i="4"/>
  <c r="N6" i="4"/>
  <c r="D12" i="1"/>
  <c r="E9" i="1" s="1"/>
  <c r="E11" i="1"/>
  <c r="E5" i="1"/>
  <c r="E6" i="1"/>
  <c r="P5" i="4" l="1"/>
  <c r="C8" i="2" s="1"/>
  <c r="F5" i="9" s="1"/>
  <c r="E10" i="1"/>
  <c r="E12" i="1"/>
  <c r="E7" i="1"/>
  <c r="H4" i="1" s="1"/>
  <c r="E8" i="1"/>
  <c r="H6" i="1" s="1"/>
  <c r="G6" i="7"/>
  <c r="H5" i="7"/>
  <c r="I5" i="7" s="1"/>
  <c r="J14" i="5"/>
  <c r="G15" i="5"/>
  <c r="H14" i="5"/>
  <c r="H4" i="7"/>
  <c r="I4" i="7" s="1"/>
  <c r="E4" i="1"/>
  <c r="H5" i="1" s="1"/>
  <c r="H10" i="5"/>
  <c r="O7" i="12"/>
  <c r="P7" i="12" s="1"/>
  <c r="D5" i="6"/>
  <c r="C20" i="2" s="1"/>
  <c r="B21" i="5" s="1"/>
  <c r="F7" i="9"/>
  <c r="F6" i="9"/>
  <c r="F9" i="9"/>
  <c r="F11" i="9"/>
  <c r="C11" i="2" s="1"/>
  <c r="F10" i="9"/>
  <c r="F8" i="9"/>
  <c r="M8" i="12"/>
  <c r="R8" i="12" s="1"/>
  <c r="H6" i="5"/>
  <c r="H11" i="5"/>
  <c r="D4" i="6"/>
  <c r="C19" i="2" s="1"/>
  <c r="B20" i="5" s="1"/>
  <c r="J5" i="5"/>
  <c r="J13" i="5"/>
  <c r="J11" i="5"/>
  <c r="J10" i="5"/>
  <c r="J9" i="5"/>
  <c r="J4" i="5"/>
  <c r="J12" i="5"/>
  <c r="J8" i="5"/>
  <c r="J7" i="5"/>
  <c r="J6" i="5"/>
  <c r="H12" i="5"/>
  <c r="H4" i="5"/>
  <c r="H13" i="5"/>
  <c r="H5" i="5"/>
  <c r="H7" i="5"/>
  <c r="H8" i="5"/>
  <c r="H9" i="5"/>
  <c r="C21" i="1" l="1"/>
  <c r="Q4" i="12"/>
  <c r="S4" i="12"/>
  <c r="Q5" i="12"/>
  <c r="S5" i="12" s="1"/>
  <c r="D21" i="1"/>
  <c r="C15" i="2" s="1"/>
  <c r="B19" i="7" s="1"/>
  <c r="G7" i="7"/>
  <c r="H6" i="7"/>
  <c r="I6" i="7"/>
  <c r="K4" i="5"/>
  <c r="H7" i="1"/>
  <c r="J15" i="5"/>
  <c r="H15" i="5"/>
  <c r="I15" i="5" s="1"/>
  <c r="G16" i="5"/>
  <c r="O8" i="12"/>
  <c r="P8" i="12" s="1"/>
  <c r="K10" i="5"/>
  <c r="K12" i="5"/>
  <c r="K15" i="5"/>
  <c r="K8" i="5"/>
  <c r="K14" i="5"/>
  <c r="K7" i="5"/>
  <c r="K5" i="5"/>
  <c r="K6" i="5"/>
  <c r="K13" i="5"/>
  <c r="K11" i="5"/>
  <c r="K9" i="5"/>
  <c r="I13" i="5"/>
  <c r="M9" i="12"/>
  <c r="R9" i="12" s="1"/>
  <c r="I7" i="5"/>
  <c r="I8" i="5"/>
  <c r="I10" i="5"/>
  <c r="I9" i="5"/>
  <c r="I14" i="5"/>
  <c r="I12" i="5"/>
  <c r="I5" i="5"/>
  <c r="I6" i="5"/>
  <c r="I11" i="5"/>
  <c r="I4" i="5"/>
  <c r="O9" i="12" l="1"/>
  <c r="P9" i="12" s="1"/>
  <c r="Q6" i="12"/>
  <c r="S6" i="12" s="1"/>
  <c r="H16" i="5"/>
  <c r="J16" i="5"/>
  <c r="K16" i="5" s="1"/>
  <c r="G17" i="5"/>
  <c r="H7" i="7"/>
  <c r="I7" i="7"/>
  <c r="J7" i="7" s="1"/>
  <c r="G8" i="7"/>
  <c r="M10" i="12"/>
  <c r="J6" i="7"/>
  <c r="J5" i="7"/>
  <c r="J4" i="7"/>
  <c r="O10" i="12" l="1"/>
  <c r="P10" i="12" s="1"/>
  <c r="Q7" i="12"/>
  <c r="S7" i="12" s="1"/>
  <c r="J17" i="5"/>
  <c r="K17" i="5" s="1"/>
  <c r="G18" i="5"/>
  <c r="H17" i="5"/>
  <c r="I17" i="5" s="1"/>
  <c r="H8" i="7"/>
  <c r="I8" i="7" s="1"/>
  <c r="J8" i="7" s="1"/>
  <c r="G9" i="7"/>
  <c r="I16" i="5"/>
  <c r="R10" i="12"/>
  <c r="M11" i="12"/>
  <c r="B11" i="7"/>
  <c r="B12" i="7" s="1"/>
  <c r="O11" i="12" l="1"/>
  <c r="P11" i="12" s="1"/>
  <c r="Q8" i="12"/>
  <c r="S8" i="12" s="1"/>
  <c r="G10" i="7"/>
  <c r="H9" i="7"/>
  <c r="I9" i="7" s="1"/>
  <c r="J9" i="7" s="1"/>
  <c r="J18" i="5"/>
  <c r="K18" i="5" s="1"/>
  <c r="G19" i="5"/>
  <c r="H18" i="5"/>
  <c r="R11" i="12"/>
  <c r="M12" i="12"/>
  <c r="O12" i="12" l="1"/>
  <c r="Q9" i="12"/>
  <c r="S9" i="12" s="1"/>
  <c r="I18" i="5"/>
  <c r="G11" i="7"/>
  <c r="H10" i="7"/>
  <c r="I10" i="7" s="1"/>
  <c r="J10" i="7" s="1"/>
  <c r="G20" i="5"/>
  <c r="J19" i="5"/>
  <c r="K19" i="5" s="1"/>
  <c r="H19" i="5"/>
  <c r="I19" i="5" s="1"/>
  <c r="R12" i="12"/>
  <c r="O13" i="12"/>
  <c r="P12" i="12"/>
  <c r="M13" i="12"/>
  <c r="Q10" i="12" l="1"/>
  <c r="S10" i="12" s="1"/>
  <c r="G12" i="7"/>
  <c r="H11" i="7"/>
  <c r="I11" i="7" s="1"/>
  <c r="J11" i="7" s="1"/>
  <c r="H20" i="5"/>
  <c r="I20" i="5" s="1"/>
  <c r="J20" i="5"/>
  <c r="K20" i="5" s="1"/>
  <c r="G21" i="5"/>
  <c r="R13" i="12"/>
  <c r="O14" i="12"/>
  <c r="P13" i="12"/>
  <c r="M14" i="12"/>
  <c r="Q11" i="12" l="1"/>
  <c r="S11" i="12" s="1"/>
  <c r="H21" i="5"/>
  <c r="I21" i="5" s="1"/>
  <c r="J21" i="5"/>
  <c r="K21" i="5" s="1"/>
  <c r="G22" i="5"/>
  <c r="H12" i="7"/>
  <c r="I12" i="7" s="1"/>
  <c r="J12" i="7" s="1"/>
  <c r="G13" i="7"/>
  <c r="R14" i="12"/>
  <c r="O15" i="12"/>
  <c r="P14" i="12"/>
  <c r="M15" i="12"/>
  <c r="Q12" i="12" l="1"/>
  <c r="Q13" i="12" s="1"/>
  <c r="S13" i="12" s="1"/>
  <c r="J22" i="5"/>
  <c r="K22" i="5" s="1"/>
  <c r="G23" i="5"/>
  <c r="H22" i="5"/>
  <c r="G14" i="7"/>
  <c r="H13" i="7"/>
  <c r="I13" i="7" s="1"/>
  <c r="J13" i="7" s="1"/>
  <c r="R15" i="12"/>
  <c r="O16" i="12"/>
  <c r="P15" i="12"/>
  <c r="M16" i="12"/>
  <c r="Q14" i="12" l="1"/>
  <c r="S14" i="12" s="1"/>
  <c r="S12" i="12"/>
  <c r="I22" i="5"/>
  <c r="G24" i="5"/>
  <c r="J23" i="5"/>
  <c r="K23" i="5" s="1"/>
  <c r="H23" i="5"/>
  <c r="I23" i="5" s="1"/>
  <c r="G15" i="7"/>
  <c r="H14" i="7"/>
  <c r="I14" i="7" s="1"/>
  <c r="J14" i="7" s="1"/>
  <c r="R16" i="12"/>
  <c r="O17" i="12"/>
  <c r="P16" i="12"/>
  <c r="M17" i="12"/>
  <c r="Q15" i="12" l="1"/>
  <c r="S15" i="12" s="1"/>
  <c r="H24" i="5"/>
  <c r="I24" i="5" s="1"/>
  <c r="J24" i="5"/>
  <c r="K24" i="5" s="1"/>
  <c r="B11" i="5" s="1"/>
  <c r="B12" i="5" s="1"/>
  <c r="G25" i="5"/>
  <c r="G16" i="7"/>
  <c r="H15" i="7"/>
  <c r="I15" i="7" s="1"/>
  <c r="J15" i="7" s="1"/>
  <c r="R17" i="12"/>
  <c r="O18" i="12"/>
  <c r="P17" i="12"/>
  <c r="M18" i="12"/>
  <c r="Q16" i="12" l="1"/>
  <c r="S16" i="12" s="1"/>
  <c r="H25" i="5"/>
  <c r="I25" i="5" s="1"/>
  <c r="J25" i="5"/>
  <c r="K25" i="5" s="1"/>
  <c r="G26" i="5"/>
  <c r="I16" i="7"/>
  <c r="J16" i="7" s="1"/>
  <c r="H16" i="7"/>
  <c r="G17" i="7"/>
  <c r="R18" i="12"/>
  <c r="O19" i="12"/>
  <c r="P18" i="12"/>
  <c r="M19" i="12"/>
  <c r="Q17" i="12" l="1"/>
  <c r="S17" i="12" s="1"/>
  <c r="J26" i="5"/>
  <c r="K26" i="5" s="1"/>
  <c r="G27" i="5"/>
  <c r="H26" i="5"/>
  <c r="I26" i="5" s="1"/>
  <c r="G18" i="7"/>
  <c r="H17" i="7"/>
  <c r="I17" i="7" s="1"/>
  <c r="J17" i="7" s="1"/>
  <c r="Q18" i="12"/>
  <c r="S18" i="12" s="1"/>
  <c r="R19" i="12"/>
  <c r="O20" i="12"/>
  <c r="P19" i="12"/>
  <c r="M20" i="12"/>
  <c r="J27" i="5" l="1"/>
  <c r="K27" i="5" s="1"/>
  <c r="H27" i="5"/>
  <c r="I27" i="5" s="1"/>
  <c r="G28" i="5"/>
  <c r="G19" i="7"/>
  <c r="H18" i="7"/>
  <c r="I18" i="7"/>
  <c r="J18" i="7" s="1"/>
  <c r="Q19" i="12"/>
  <c r="S19" i="12" s="1"/>
  <c r="R20" i="12"/>
  <c r="O21" i="12"/>
  <c r="P20" i="12"/>
  <c r="M21" i="12"/>
  <c r="G20" i="7" l="1"/>
  <c r="H19" i="7"/>
  <c r="I19" i="7" s="1"/>
  <c r="J19" i="7" s="1"/>
  <c r="H28" i="5"/>
  <c r="I28" i="5" s="1"/>
  <c r="J28" i="5"/>
  <c r="K28" i="5" s="1"/>
  <c r="G29" i="5"/>
  <c r="Q20" i="12"/>
  <c r="S20" i="12" s="1"/>
  <c r="R21" i="12"/>
  <c r="O22" i="12"/>
  <c r="P21" i="12"/>
  <c r="M22" i="12"/>
  <c r="H29" i="5" l="1"/>
  <c r="J29" i="5"/>
  <c r="K29" i="5" s="1"/>
  <c r="H20" i="7"/>
  <c r="I20" i="7" s="1"/>
  <c r="J20" i="7" s="1"/>
  <c r="G21" i="7"/>
  <c r="Q21" i="12"/>
  <c r="S21" i="12" s="1"/>
  <c r="R22" i="12"/>
  <c r="O23" i="12"/>
  <c r="P22" i="12"/>
  <c r="M23" i="12"/>
  <c r="G22" i="7" l="1"/>
  <c r="H21" i="7"/>
  <c r="I21" i="7" s="1"/>
  <c r="J21" i="7" s="1"/>
  <c r="I29" i="5"/>
  <c r="B13" i="5"/>
  <c r="Q22" i="12"/>
  <c r="R23" i="12"/>
  <c r="O24" i="12"/>
  <c r="P23" i="12"/>
  <c r="M24" i="12"/>
  <c r="Q23" i="12" l="1"/>
  <c r="G23" i="7"/>
  <c r="H22" i="7"/>
  <c r="I22" i="7"/>
  <c r="J22" i="7" s="1"/>
  <c r="S22" i="12"/>
  <c r="S23" i="12"/>
  <c r="R24" i="12"/>
  <c r="O25" i="12"/>
  <c r="P24" i="12"/>
  <c r="Q24" i="12" s="1"/>
  <c r="M25" i="12"/>
  <c r="G24" i="7" l="1"/>
  <c r="H23" i="7"/>
  <c r="I23" i="7" s="1"/>
  <c r="J23" i="7" s="1"/>
  <c r="S24" i="12"/>
  <c r="R25" i="12"/>
  <c r="O26" i="12"/>
  <c r="P25" i="12"/>
  <c r="Q25" i="12" s="1"/>
  <c r="M26" i="12"/>
  <c r="H24" i="7" l="1"/>
  <c r="I24" i="7"/>
  <c r="J24" i="7" s="1"/>
  <c r="G25" i="7"/>
  <c r="S25" i="12"/>
  <c r="R26" i="12"/>
  <c r="O27" i="12"/>
  <c r="P26" i="12"/>
  <c r="Q26" i="12" s="1"/>
  <c r="M27" i="12"/>
  <c r="G26" i="7" l="1"/>
  <c r="H25" i="7"/>
  <c r="I25" i="7" s="1"/>
  <c r="J25" i="7" s="1"/>
  <c r="S26" i="12"/>
  <c r="R27" i="12"/>
  <c r="O28" i="12"/>
  <c r="P27" i="12"/>
  <c r="Q27" i="12" s="1"/>
  <c r="M28" i="12"/>
  <c r="G27" i="7" l="1"/>
  <c r="H26" i="7"/>
  <c r="I26" i="7"/>
  <c r="J26" i="7" s="1"/>
  <c r="S27" i="12"/>
  <c r="R28" i="12"/>
  <c r="O29" i="12"/>
  <c r="P28" i="12"/>
  <c r="Q28" i="12" s="1"/>
  <c r="M29" i="12"/>
  <c r="H27" i="7" l="1"/>
  <c r="I27" i="7" s="1"/>
  <c r="J27" i="7" s="1"/>
  <c r="G28" i="7"/>
  <c r="S28" i="12"/>
  <c r="P29" i="12"/>
  <c r="Q29" i="12" s="1"/>
  <c r="O30" i="12"/>
  <c r="M30" i="12"/>
  <c r="R29" i="12"/>
  <c r="H28" i="7" l="1"/>
  <c r="I28" i="7" s="1"/>
  <c r="J28" i="7" s="1"/>
  <c r="G29" i="7"/>
  <c r="S29" i="12"/>
  <c r="P30" i="12"/>
  <c r="Q30" i="12" s="1"/>
  <c r="O31" i="12"/>
  <c r="R30" i="12"/>
  <c r="M31" i="12"/>
  <c r="M32" i="12" s="1"/>
  <c r="I29" i="7" l="1"/>
  <c r="J29" i="7" s="1"/>
  <c r="H29" i="7"/>
  <c r="S30" i="12"/>
  <c r="M33" i="12"/>
  <c r="R32" i="12"/>
  <c r="P31" i="12"/>
  <c r="Q31" i="12" s="1"/>
  <c r="O32" i="12"/>
  <c r="R31" i="12"/>
  <c r="S31" i="12" l="1"/>
  <c r="M34" i="12"/>
  <c r="R33" i="12"/>
  <c r="P32" i="12"/>
  <c r="Q32" i="12" s="1"/>
  <c r="S32" i="12" s="1"/>
  <c r="O33" i="12"/>
  <c r="R34" i="12" l="1"/>
  <c r="M35" i="12"/>
  <c r="P33" i="12"/>
  <c r="Q33" i="12" s="1"/>
  <c r="O34" i="12"/>
  <c r="S33" i="12" l="1"/>
  <c r="M36" i="12"/>
  <c r="R35" i="12"/>
  <c r="P34" i="12"/>
  <c r="Q34" i="12" s="1"/>
  <c r="O35" i="12"/>
  <c r="S34" i="12" l="1"/>
  <c r="R36" i="12"/>
  <c r="P35" i="12"/>
  <c r="Q35" i="12" s="1"/>
  <c r="O36" i="12"/>
  <c r="P36" i="12" s="1"/>
  <c r="Q36" i="12" l="1"/>
  <c r="S36" i="12" s="1"/>
  <c r="S35" i="12"/>
  <c r="B29" i="11" s="1"/>
  <c r="B30" i="11" l="1"/>
</calcChain>
</file>

<file path=xl/sharedStrings.xml><?xml version="1.0" encoding="utf-8"?>
<sst xmlns="http://schemas.openxmlformats.org/spreadsheetml/2006/main" count="499" uniqueCount="322">
  <si>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</si>
  <si>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</si>
  <si>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</si>
  <si>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</si>
  <si>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</si>
  <si>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</si>
  <si>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</si>
  <si>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</si>
  <si>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</si>
  <si>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</si>
  <si>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</si>
  <si>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</si>
  <si>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</si>
  <si>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</si>
  <si>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</si>
  <si>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</si>
  <si>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</si>
  <si>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</si>
  <si>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</si>
  <si>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</si>
  <si>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</si>
  <si>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</si>
  <si>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</si>
  <si>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</si>
  <si>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</si>
  <si>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</si>
  <si>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</si>
  <si>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</si>
  <si>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</si>
  <si>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</si>
  <si>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</si>
  <si>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</si>
  <si>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</si>
  <si>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</si>
  <si>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</si>
  <si>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</si>
  <si>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</si>
  <si>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</si>
  <si>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</si>
  <si>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</si>
  <si>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</si>
  <si>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</si>
  <si>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</si>
  <si>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</si>
  <si>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</si>
  <si>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</si>
  <si>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</si>
  <si>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</si>
  <si>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</si>
  <si>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</si>
  <si>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</si>
  <si>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</si>
  <si>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</si>
  <si>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</si>
  <si>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</si>
  <si>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</si>
  <si>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</si>
  <si>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</si>
  <si>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</si>
  <si>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</si>
  <si>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</si>
  <si>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</si>
  <si>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</si>
  <si>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</si>
  <si>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</si>
  <si>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</si>
  <si>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</si>
  <si>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</si>
  <si>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</si>
  <si>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</si>
  <si>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</si>
  <si>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</si>
  <si>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</si>
  <si>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</si>
  <si>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</si>
  <si>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</si>
  <si>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</si>
  <si>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</si>
  <si>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</si>
  <si>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</si>
  <si>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</si>
  <si>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</si>
  <si>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</si>
  <si>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</si>
  <si>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</si>
  <si>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</si>
  <si>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</si>
  <si>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</si>
  <si>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</si>
  <si>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</si>
  <si>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</si>
  <si>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</si>
  <si>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</si>
  <si>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</si>
  <si>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</si>
  <si>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</si>
  <si>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</si>
  <si>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</si>
  <si>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</si>
  <si>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</si>
  <si>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</si>
  <si>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</si>
  <si>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</si>
  <si>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</si>
  <si>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</si>
  <si>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</si>
  <si>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</si>
  <si>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</si>
  <si>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</si>
  <si>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</si>
  <si>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</si>
  <si>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</si>
  <si>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</si>
  <si>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</si>
  <si>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</si>
  <si>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</si>
  <si>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</si>
  <si>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</si>
  <si>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</si>
  <si>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</si>
  <si>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</si>
  <si>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</si>
  <si>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</si>
  <si>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</si>
  <si>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</si>
  <si>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</si>
  <si>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</si>
  <si>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</si>
  <si>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</si>
  <si>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Benefit Cap</t>
  </si>
  <si>
    <t>Real wage growth rate</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</si>
  <si>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</si>
  <si>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</si>
  <si>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</si>
  <si>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</si>
  <si>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</si>
  <si>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</si>
  <si>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</si>
  <si>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</si>
  <si>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</si>
  <si>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t>Mon</t>
  </si>
  <si>
    <t>N</t>
  </si>
  <si>
    <t>Y</t>
  </si>
  <si>
    <t>RD</t>
  </si>
  <si>
    <t>Sat</t>
  </si>
  <si>
    <t>Death_Cnt</t>
  </si>
  <si>
    <t>Tot_Injry_Cnt</t>
  </si>
  <si>
    <t>Unkn_Injry_Cnt</t>
  </si>
  <si>
    <t>Non_Injry_Cnt</t>
  </si>
  <si>
    <t>Poss_Injry_Cnt</t>
  </si>
  <si>
    <t>Nonincap_Injry_Cnt</t>
  </si>
  <si>
    <t>Incap_Injry_Cnt</t>
  </si>
  <si>
    <t>Yield</t>
  </si>
  <si>
    <t>Standstop</t>
  </si>
  <si>
    <t>WDCode_ID</t>
  </si>
  <si>
    <t>Poscrossing_ID</t>
  </si>
  <si>
    <t>RRCo</t>
  </si>
  <si>
    <t>CrossingNumber</t>
  </si>
  <si>
    <t>Bridge_IR_Struct_Func_ID</t>
  </si>
  <si>
    <t>Bridge_Rte_Struct_Func_ID</t>
  </si>
  <si>
    <t>Bridge_Dir_Of_Traffic_ID</t>
  </si>
  <si>
    <t>Deck_Width</t>
  </si>
  <si>
    <t>Roadway_Width</t>
  </si>
  <si>
    <t>Culvert_Type_ID</t>
  </si>
  <si>
    <t>Bridge_Srvc_Type_Under_ID</t>
  </si>
  <si>
    <t>Bridge_Srvc_Type_On_ID</t>
  </si>
  <si>
    <t>Bridge_Loading_In_1000_Lbs</t>
  </si>
  <si>
    <t>Bridge_Loading_Type_ID</t>
  </si>
  <si>
    <t>Bridge_Median_ID</t>
  </si>
  <si>
    <t>Approach_Width</t>
  </si>
  <si>
    <t>I_R_Min_Vert_Clear</t>
  </si>
  <si>
    <t>Structure_Number</t>
  </si>
  <si>
    <t>Feature_Crossed</t>
  </si>
  <si>
    <t>Dd_Degr</t>
  </si>
  <si>
    <t>Delta_Left_Right_ID</t>
  </si>
  <si>
    <t>Cd_Degr</t>
  </si>
  <si>
    <t>Curve_Lngth</t>
  </si>
  <si>
    <t>Curve_Type_ID</t>
  </si>
  <si>
    <t>Trk_Aadt_Pct</t>
  </si>
  <si>
    <t>Pct_Combo_Trk_Adt</t>
  </si>
  <si>
    <t>Pct_Single_Trk_Adt</t>
  </si>
  <si>
    <t>Adt_Adj_Curnt_Amt</t>
  </si>
  <si>
    <t>Adt_Curnt_Year</t>
  </si>
  <si>
    <t>Adt_Curnt_Amt</t>
  </si>
  <si>
    <t>Func_Sys_ID</t>
  </si>
  <si>
    <t>Rural_Urban_Type_ID</t>
  </si>
  <si>
    <t>Median_Width</t>
  </si>
  <si>
    <t>Median_Type_ID</t>
  </si>
  <si>
    <t>Shldr_Use_Right_ID</t>
  </si>
  <si>
    <t>Shldr_Width_Right</t>
  </si>
  <si>
    <t>Shldr_Type_Right_ID</t>
  </si>
  <si>
    <t>Shldr_Use_Left_ID</t>
  </si>
  <si>
    <t>Shldr_Width_Left</t>
  </si>
  <si>
    <t>Shldr_Type_Left_ID</t>
  </si>
  <si>
    <t>Curb_Type_Right_ID</t>
  </si>
  <si>
    <t>Curb_Type_Left_ID</t>
  </si>
  <si>
    <t>Surf_Type_ID</t>
  </si>
  <si>
    <t>Surf_Width</t>
  </si>
  <si>
    <t>Roadbed_Width</t>
  </si>
  <si>
    <t>Row_Width_Usual</t>
  </si>
  <si>
    <t>Nbr_Of_Lane</t>
  </si>
  <si>
    <t>Base_Type_ID</t>
  </si>
  <si>
    <t>Hp_Median_Width</t>
  </si>
  <si>
    <t>Hp_Shldr_Right</t>
  </si>
  <si>
    <t>Hp_Shldr_Left</t>
  </si>
  <si>
    <t>Hwy_Dsgn_Hrt_ID</t>
  </si>
  <si>
    <t>Hwy_Dsgn_Lane_ID</t>
  </si>
  <si>
    <t>Day_of_Week</t>
  </si>
  <si>
    <t>Located_Fl</t>
  </si>
  <si>
    <t>Pop_Group_ID</t>
  </si>
  <si>
    <t>Crash_Sev_ID</t>
  </si>
  <si>
    <t>Rural_Fl</t>
  </si>
  <si>
    <t>Onsys_Fl</t>
  </si>
  <si>
    <t>Txdot_Rptable_Fl</t>
  </si>
  <si>
    <t>Milepoint_2</t>
  </si>
  <si>
    <t>Section_2</t>
  </si>
  <si>
    <t>Control_2</t>
  </si>
  <si>
    <t>Street_Nbr_2</t>
  </si>
  <si>
    <t>Street_Name_2</t>
  </si>
  <si>
    <t>Hwy_Sfx_2</t>
  </si>
  <si>
    <t>Hwy_Nbr_2</t>
  </si>
  <si>
    <t>Hwy_Sys_2</t>
  </si>
  <si>
    <t>Ref_Mark_Displ</t>
  </si>
  <si>
    <t>Ref_Mark_Nbr</t>
  </si>
  <si>
    <t>Milepoint</t>
  </si>
  <si>
    <t>Section</t>
  </si>
  <si>
    <t>Control</t>
  </si>
  <si>
    <t>Street_Nbr</t>
  </si>
  <si>
    <t>Street_Name</t>
  </si>
  <si>
    <t>Dfo</t>
  </si>
  <si>
    <t>Hwy_Sfx</t>
  </si>
  <si>
    <t>Hwy_Nbr</t>
  </si>
  <si>
    <t>Hwy_Sys</t>
  </si>
  <si>
    <t>Longitude</t>
  </si>
  <si>
    <t>Latitude</t>
  </si>
  <si>
    <t>City_ID</t>
  </si>
  <si>
    <t>Cnty_ID</t>
  </si>
  <si>
    <t>Phys_Featr_2_ID</t>
  </si>
  <si>
    <t>Phys_Featr_1_ID</t>
  </si>
  <si>
    <t>Road_Relat_ID</t>
  </si>
  <si>
    <t>Road_Cls_ID</t>
  </si>
  <si>
    <t>Road_Part_Adj_ID</t>
  </si>
  <si>
    <t>Othr_Factr_ID</t>
  </si>
  <si>
    <t>Obj_Struck_ID</t>
  </si>
  <si>
    <t>FHE_Collsn_ID</t>
  </si>
  <si>
    <t>Intrsct_Relat_ID</t>
  </si>
  <si>
    <t>Harm_Evnt_ID</t>
  </si>
  <si>
    <t>Bridge_Detail_ID</t>
  </si>
  <si>
    <t>Investigat_Agency_ID</t>
  </si>
  <si>
    <t>Traffic_Cntl_ID</t>
  </si>
  <si>
    <t>Surf_Cond_ID</t>
  </si>
  <si>
    <t>Road_Algn_ID</t>
  </si>
  <si>
    <t>Road_Type_ID</t>
  </si>
  <si>
    <t>Entr_Road_ID</t>
  </si>
  <si>
    <t>Light_Cond_ID</t>
  </si>
  <si>
    <t>Wthr_Cond_ID</t>
  </si>
  <si>
    <t>Rpt_CrossingNumber</t>
  </si>
  <si>
    <t>Rpt_Ref_Mark_Nbr</t>
  </si>
  <si>
    <t>Rpt_Ref_Mark_Dir</t>
  </si>
  <si>
    <t>Rpt_Ref_Mark_Dist_Uom</t>
  </si>
  <si>
    <t>Rpt_Ref_Mark_Offset_Amt</t>
  </si>
  <si>
    <t>Rpt_Sec_Street_Sfx</t>
  </si>
  <si>
    <t>Rpt_Sec_Street_Name</t>
  </si>
  <si>
    <t>Rpt_Sec_Street_Pfx</t>
  </si>
  <si>
    <t>Rpt_Sec_Block_Num</t>
  </si>
  <si>
    <t>Rpt_Sec_Road_Part_ID</t>
  </si>
  <si>
    <t>Rpt_Sec_Hwy_Sfx</t>
  </si>
  <si>
    <t>Rpt_Sec_Hwy_Num</t>
  </si>
  <si>
    <t>Rpt_Sec_Rdwy_Sys_ID</t>
  </si>
  <si>
    <t>At_Intrsct_Fl</t>
  </si>
  <si>
    <t>Road_Constr_Zone_Wrkr_Fl</t>
  </si>
  <si>
    <t>Road_Constr_Zone_Fl</t>
  </si>
  <si>
    <t>Crash_Speed_Limit</t>
  </si>
  <si>
    <t>Toll_Road_Fl</t>
  </si>
  <si>
    <t>Private_Dr_Fl</t>
  </si>
  <si>
    <t>Rpt_Street_Sfx</t>
  </si>
  <si>
    <t>Rpt_Street_Name</t>
  </si>
  <si>
    <t>Rpt_Street_Pfx</t>
  </si>
  <si>
    <t>Rpt_Block_Num</t>
  </si>
  <si>
    <t>Rpt_Road_Part_ID</t>
  </si>
  <si>
    <t>Rpt_Hwy_Sfx</t>
  </si>
  <si>
    <t>Rpt_Hwy_Num</t>
  </si>
  <si>
    <t>Rpt_Rdwy_Sys_ID</t>
  </si>
  <si>
    <t>Rpt_Longitude</t>
  </si>
  <si>
    <t>Rpt_Latitude</t>
  </si>
  <si>
    <t>Thousand_Damage_Fl</t>
  </si>
  <si>
    <t>Rpt_Outside_City_Limit_Fl</t>
  </si>
  <si>
    <t>Rpt_City_ID</t>
  </si>
  <si>
    <t>Rpt_CRIS_Cnty_ID</t>
  </si>
  <si>
    <t>Case_ID</t>
  </si>
  <si>
    <t>Crash_Time</t>
  </si>
  <si>
    <t>Crash_Date</t>
  </si>
  <si>
    <t>Active_School_Zone_Fl</t>
  </si>
  <si>
    <t>Amend_Supp_Fl</t>
  </si>
  <si>
    <t>Medical_Advisory_Fl</t>
  </si>
  <si>
    <t>Rr_Relat_Fl</t>
  </si>
  <si>
    <t>Schl_Bus_Fl</t>
  </si>
  <si>
    <t>Cmv_Involv_Fl</t>
  </si>
  <si>
    <t>Crash_Fatal_Fl</t>
  </si>
  <si>
    <t>Crash_ID</t>
  </si>
  <si>
    <t>Preventable Crash History</t>
  </si>
  <si>
    <t>Year 1</t>
  </si>
  <si>
    <t>Year 3</t>
  </si>
  <si>
    <t>Year 2</t>
  </si>
  <si>
    <t>Average</t>
  </si>
  <si>
    <t>Discounted Safety Benefits @ 7% (2015 $, '000s)</t>
  </si>
  <si>
    <t>Discounted Safety Benefits @ 3% (2015 $, '000s)</t>
  </si>
  <si>
    <t>Import from Crash History Data Tab?</t>
  </si>
  <si>
    <t>Improvement Information</t>
  </si>
  <si>
    <t>Project Identification</t>
  </si>
  <si>
    <t>Blank for reset…</t>
  </si>
  <si>
    <t>AIS 0</t>
  </si>
  <si>
    <t>No Injuries</t>
  </si>
  <si>
    <t>Sum(Prob)</t>
  </si>
  <si>
    <t>CRIS Data Conversion to AIS, TIGER BCA Resource Guide (2014)</t>
  </si>
  <si>
    <t>Crash Data on Abbreviated Injury Scale (AIS)</t>
  </si>
  <si>
    <t>Sum</t>
  </si>
  <si>
    <t>Potential Value of Crash Savings (2015 $)</t>
  </si>
  <si>
    <r>
      <t xml:space="preserve">Year Open to Traffic? </t>
    </r>
    <r>
      <rPr>
        <b/>
        <sz val="11"/>
        <color theme="1"/>
        <rFont val="Calibri"/>
        <family val="2"/>
        <scheme val="minor"/>
      </rPr>
      <t>(Must be &gt;=2018)</t>
    </r>
  </si>
  <si>
    <t>Service Life (years):</t>
  </si>
  <si>
    <t>Appropriate Crash Reduction Factor (%):</t>
  </si>
  <si>
    <t>FM 2920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</si>
</sst>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sz val="9"/>
      <color rgb="FF000000"/>
      <name val="Calibri"/>
      <family val="2"/>
    </font>
    <font>
      <b/>
      <sz val="9"/>
      <color rgb="FF000000"/>
      <name val="Calibri"/>
      <family val="2"/>
    </font>
    <font>
      <b/>
      <sz val="9"/>
      <color rgb="FFFF0000"/>
      <name val="Calibri"/>
      <family val="2"/>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theme="8" tint="0.79998168889431442"/>
      </patternFill>
    </fill>
    <fill>
      <patternFill patternType="solid">
        <fgColor theme="4"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25">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0" borderId="1" xfId="3" applyNumberFormat="1" applyFont="1" applyFill="1" applyBorder="1" applyAlignment="1">
      <alignment horizontal="center"/>
    </xf>
    <xf numFmtId="10" fontId="0" fillId="9"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9" borderId="1" xfId="3"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9" borderId="1" xfId="3" applyNumberFormat="1" applyFont="1" applyFill="1" applyBorder="1" applyAlignment="1">
      <alignment horizontal="center"/>
    </xf>
    <xf numFmtId="0" fontId="0" fillId="0" borderId="0" xfId="0" applyNumberFormat="1"/>
    <xf numFmtId="165" fontId="0" fillId="14" borderId="1" xfId="2" applyNumberFormat="1" applyFont="1" applyFill="1" applyBorder="1" applyAlignment="1">
      <alignment horizontal="center"/>
    </xf>
    <xf numFmtId="0" fontId="0" fillId="8" borderId="1" xfId="0" applyFont="1" applyFill="1" applyBorder="1" applyAlignment="1">
      <alignment horizontal="center"/>
    </xf>
    <xf numFmtId="10" fontId="0" fillId="8" borderId="1" xfId="3" applyNumberFormat="1" applyFont="1" applyFill="1" applyBorder="1" applyAlignment="1">
      <alignment horizontal="center"/>
    </xf>
    <xf numFmtId="2" fontId="0" fillId="8" borderId="1" xfId="0" applyNumberFormat="1" applyFont="1" applyFill="1" applyBorder="1" applyAlignment="1">
      <alignment horizontal="center"/>
    </xf>
    <xf numFmtId="0" fontId="0" fillId="8"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5" xfId="0" applyFont="1" applyBorder="1"/>
    <xf numFmtId="0" fontId="0" fillId="0" borderId="5" xfId="0" applyBorder="1"/>
    <xf numFmtId="3" fontId="0" fillId="8" borderId="1" xfId="0" applyNumberFormat="1" applyFont="1" applyFill="1" applyBorder="1" applyAlignment="1" applyProtection="1">
      <alignment horizontal="center"/>
    </xf>
    <xf numFmtId="0" fontId="0" fillId="0" borderId="6" xfId="0" applyBorder="1"/>
    <xf numFmtId="0" fontId="7" fillId="15" borderId="1" xfId="0" applyFont="1" applyFill="1" applyBorder="1"/>
    <xf numFmtId="3" fontId="7" fillId="15" borderId="1" xfId="0" applyNumberFormat="1" applyFont="1" applyFill="1" applyBorder="1" applyProtection="1">
      <protection locked="0"/>
    </xf>
    <xf numFmtId="18" fontId="0" fillId="0" borderId="0" xfId="0" applyNumberFormat="1"/>
    <xf numFmtId="14" fontId="0" fillId="0" borderId="0" xfId="0" applyNumberFormat="1"/>
    <xf numFmtId="0" fontId="2" fillId="4" borderId="7" xfId="0" applyFont="1" applyFill="1" applyBorder="1"/>
    <xf numFmtId="0" fontId="9" fillId="4" borderId="7" xfId="0" applyFont="1" applyFill="1" applyBorder="1" applyAlignment="1">
      <alignment horizontal="center"/>
    </xf>
    <xf numFmtId="0" fontId="0" fillId="3" borderId="0" xfId="0" applyFill="1" applyBorder="1"/>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9" fontId="0" fillId="3" borderId="1" xfId="0" applyNumberFormat="1" applyFill="1" applyBorder="1" applyProtection="1">
      <protection locked="0"/>
    </xf>
    <xf numFmtId="165" fontId="0" fillId="13" borderId="1" xfId="2" applyNumberFormat="1" applyFont="1" applyFill="1" applyBorder="1" applyAlignment="1">
      <alignment horizontal="center"/>
    </xf>
    <xf numFmtId="0" fontId="2" fillId="16" borderId="7" xfId="0" applyFont="1" applyFill="1" applyBorder="1"/>
    <xf numFmtId="0" fontId="9" fillId="16" borderId="7" xfId="0" applyFont="1" applyFill="1" applyBorder="1" applyAlignment="1">
      <alignment horizontal="center"/>
    </xf>
    <xf numFmtId="4" fontId="7" fillId="17" borderId="1" xfId="0" applyNumberFormat="1" applyFont="1" applyFill="1" applyBorder="1" applyProtection="1">
      <protection locked="0"/>
    </xf>
    <xf numFmtId="0" fontId="0" fillId="18" borderId="1" xfId="0" applyFill="1" applyBorder="1"/>
    <xf numFmtId="3" fontId="0" fillId="18" borderId="1" xfId="0" applyNumberFormat="1" applyFill="1" applyBorder="1" applyProtection="1">
      <protection locked="0"/>
    </xf>
    <xf numFmtId="0" fontId="2" fillId="16" borderId="2" xfId="0" applyFont="1" applyFill="1" applyBorder="1"/>
    <xf numFmtId="0" fontId="0" fillId="16" borderId="1" xfId="0" applyFill="1" applyBorder="1"/>
    <xf numFmtId="0" fontId="0" fillId="3" borderId="1" xfId="0" applyFill="1" applyBorder="1" applyAlignment="1" applyProtection="1">
      <alignment horizontal="right"/>
      <protection locked="0"/>
    </xf>
    <xf numFmtId="0" fontId="16" fillId="4" borderId="2" xfId="0" applyFont="1" applyFill="1" applyBorder="1" applyAlignment="1">
      <alignment horizontal="center"/>
    </xf>
    <xf numFmtId="0" fontId="16" fillId="4" borderId="3" xfId="0" applyFont="1" applyFill="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0" fontId="4" fillId="0" borderId="1" xfId="0" applyFont="1" applyFill="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hyperlink" Target="http://ftp.dot.state.tx.us/pub/txdot-info/trf/hsipworkcodestabl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78873</xdr:colOff>
      <xdr:row>0</xdr:row>
      <xdr:rowOff>123264</xdr:rowOff>
    </xdr:from>
    <xdr:to>
      <xdr:col>4</xdr:col>
      <xdr:colOff>955367</xdr:colOff>
      <xdr:row>17</xdr:row>
      <xdr:rowOff>131885</xdr:rowOff>
    </xdr:to>
    <xdr:sp macro="" textlink="">
      <xdr:nvSpPr>
        <xdr:cNvPr id="2" name="TextBox 1">
          <a:hlinkClick xmlns:r="http://schemas.openxmlformats.org/officeDocument/2006/relationships" r:id="rId1"/>
        </xdr:cNvPr>
        <xdr:cNvSpPr txBox="1"/>
      </xdr:nvSpPr>
      <xdr:spPr>
        <a:xfrm>
          <a:off x="78873" y="123264"/>
          <a:ext cx="6650109" cy="324712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etc.).  While optional, please provide 2025 volume/capacity if available. </a:t>
          </a:r>
        </a:p>
        <a:p>
          <a:endParaRPr lang="en-US" sz="1100" b="0" baseline="0">
            <a:solidFill>
              <a:schemeClr val="bg1"/>
            </a:solidFill>
          </a:endParaRPr>
        </a:p>
        <a:p>
          <a:r>
            <a:rPr lang="en-US" sz="1100" b="1" i="1" baseline="0">
              <a:solidFill>
                <a:schemeClr val="bg1"/>
              </a:solidFill>
            </a:rPr>
            <a:t>Crash Reduction Factors and Service Life values should be consistent with TxDOT's current Highway Safety Improvement Program (HSIP) Work Codes Table (http://ftp.dot.state.tx.us/pub/txdot-info/trf/hsipworkcodestable.pdf)</a:t>
          </a:r>
        </a:p>
        <a:p>
          <a:endParaRPr lang="en-US" sz="1100" b="0" baseline="0">
            <a:solidFill>
              <a:schemeClr val="bg1"/>
            </a:solidFill>
          </a:endParaRPr>
        </a:p>
        <a:p>
          <a:r>
            <a:rPr lang="en-US" sz="1100" b="0" baseline="0">
              <a:solidFill>
                <a:schemeClr val="bg1"/>
              </a:solidFill>
            </a:rPr>
            <a:t>2. On the "Inputs &amp; Outputs" tab, provide three years of crash history data in the "purple" shaded section. This data can be provided in two ways: </a:t>
          </a:r>
        </a:p>
        <a:p>
          <a:r>
            <a:rPr lang="en-US" sz="1100" b="0" baseline="0">
              <a:solidFill>
                <a:schemeClr val="bg1"/>
              </a:solidFill>
            </a:rPr>
            <a:t>     (A) Copy and paste reviewed/validated CRIS database records into the "CRASH" tab, and use the "Import" 	button on the "Inputs &amp; Outputs" tab generate the summary; or</a:t>
          </a:r>
        </a:p>
        <a:p>
          <a:r>
            <a:rPr lang="en-US" sz="1100" b="0" baseline="0">
              <a:solidFill>
                <a:schemeClr val="bg1"/>
              </a:solidFill>
            </a:rPr>
            <a:t>     (B) Directly enter the summary crash data on the "Inputs &amp; Outputs" tab.</a:t>
          </a:r>
        </a:p>
        <a:p>
          <a:endParaRPr lang="en-US" sz="1100" b="0" baseline="0">
            <a:solidFill>
              <a:schemeClr val="bg1"/>
            </a:solidFill>
          </a:endParaRPr>
        </a:p>
        <a:p>
          <a:r>
            <a:rPr lang="en-US" sz="1100" b="1" i="1" baseline="0">
              <a:solidFill>
                <a:schemeClr val="bg1"/>
              </a:solidFill>
            </a:rPr>
            <a:t>In either case you must provide appropriate documentation of the crash history records and the process used to review and validate the records as appropriate for inclusion in the analysis (type/causes of crash, etc).</a:t>
          </a:r>
        </a:p>
        <a:p>
          <a:endParaRPr lang="en-US" sz="1100" b="0" baseline="0">
            <a:solidFill>
              <a:schemeClr val="bg1"/>
            </a:solidFill>
          </a:endParaRPr>
        </a:p>
        <a:p>
          <a:r>
            <a:rPr lang="en-US" sz="1100" b="0" baseline="0">
              <a:solidFill>
                <a:schemeClr val="bg1"/>
              </a:solidFill>
            </a:rPr>
            <a:t>3. Results will be populated in "red" shaded section ("Benefit Results")</a:t>
          </a:r>
        </a:p>
        <a:p>
          <a:endParaRPr lang="en-US" sz="1100" b="1" baseline="0">
            <a:solidFill>
              <a:schemeClr val="bg1"/>
            </a:solidFill>
          </a:endParaRP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5</xdr:row>
          <xdr:rowOff>28575</xdr:rowOff>
        </xdr:from>
        <xdr:to>
          <xdr:col>5</xdr:col>
          <xdr:colOff>0</xdr:colOff>
          <xdr:row>6</xdr:row>
          <xdr:rowOff>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5</xdr:row>
          <xdr:rowOff>19050</xdr:rowOff>
        </xdr:from>
        <xdr:to>
          <xdr:col>5</xdr:col>
          <xdr:colOff>0</xdr:colOff>
          <xdr:row>5</xdr:row>
          <xdr:rowOff>180975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5</xdr:row>
          <xdr:rowOff>19050</xdr:rowOff>
        </xdr:from>
        <xdr:to>
          <xdr:col>5</xdr:col>
          <xdr:colOff>600075</xdr:colOff>
          <xdr:row>5</xdr:row>
          <xdr:rowOff>180975</xdr:rowOff>
        </xdr:to>
        <xdr:sp macro="" textlink="">
          <xdr:nvSpPr>
            <xdr:cNvPr id="6149" name="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Calibri"/>
                </a:rPr>
                <a:t>Reset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7"/>
  <sheetViews>
    <sheetView zoomScale="130" zoomScaleNormal="130" workbookViewId="0">
      <selection activeCell="A20" sqref="A2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3">
      <c r="A7" s="33"/>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3">
      <c r="B1" s="5" t="s">
        <v>48</v>
      </c>
    </row>
    <row r="2" spans="2:4" x14ac:dyDescent="0.3">
      <c r="B2" s="5"/>
    </row>
    <row r="3" spans="2:4" x14ac:dyDescent="0.3">
      <c r="B3" s="54" t="s">
        <v>10</v>
      </c>
      <c r="C3" s="54" t="s">
        <v>77</v>
      </c>
      <c r="D3" s="54" t="s">
        <v>85</v>
      </c>
    </row>
    <row r="4" spans="2:4" x14ac:dyDescent="0.3">
      <c r="B4" s="47" t="s">
        <v>11</v>
      </c>
      <c r="C4" s="69">
        <v>1999</v>
      </c>
      <c r="D4" s="69">
        <f>C4*(1+'Assumed Values'!$C$8)^(2015-2013)</f>
        <v>2083.1541467275511</v>
      </c>
    </row>
    <row r="5" spans="2:4" x14ac:dyDescent="0.3">
      <c r="B5" s="47" t="s">
        <v>12</v>
      </c>
      <c r="C5" s="48">
        <v>7877</v>
      </c>
      <c r="D5" s="69">
        <f>C5*(1+'Assumed Values'!$C$8)^(2015-2013)</f>
        <v>8208.6069103416321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3">
      <c r="A2" s="4" t="s">
        <v>39</v>
      </c>
      <c r="B2" s="38"/>
      <c r="C2" s="38"/>
      <c r="D2" s="38"/>
      <c r="E2" s="38"/>
      <c r="F2" s="38"/>
      <c r="G2" s="38"/>
      <c r="H2" s="38"/>
      <c r="I2" s="38"/>
      <c r="J2" s="38"/>
      <c r="K2" s="38"/>
      <c r="L2" s="38"/>
      <c r="M2" s="38"/>
      <c r="N2" s="38"/>
    </row>
    <row r="3" spans="1:16" x14ac:dyDescent="0.3">
      <c r="A3" s="38"/>
      <c r="B3" s="39">
        <v>2000</v>
      </c>
      <c r="C3" s="39">
        <v>2001</v>
      </c>
      <c r="D3" s="39">
        <v>2002</v>
      </c>
      <c r="E3" s="39">
        <v>2003</v>
      </c>
      <c r="F3" s="39">
        <v>2004</v>
      </c>
      <c r="G3" s="39">
        <v>2005</v>
      </c>
      <c r="H3" s="39">
        <v>2006</v>
      </c>
      <c r="I3" s="39">
        <v>2007</v>
      </c>
      <c r="J3" s="39">
        <v>2008</v>
      </c>
      <c r="K3" s="39">
        <v>2009</v>
      </c>
      <c r="L3" s="39">
        <v>2010</v>
      </c>
      <c r="M3" s="39">
        <v>2011</v>
      </c>
      <c r="N3" s="39">
        <v>2012</v>
      </c>
      <c r="O3" s="39">
        <v>2013</v>
      </c>
      <c r="P3" s="39" t="s">
        <v>82</v>
      </c>
    </row>
    <row r="4" spans="1:16" x14ac:dyDescent="0.3">
      <c r="A4" s="40" t="s">
        <v>42</v>
      </c>
      <c r="B4" s="41">
        <v>81.891000000000005</v>
      </c>
      <c r="C4" s="41">
        <v>83.766000000000005</v>
      </c>
      <c r="D4" s="41">
        <v>85.054000000000002</v>
      </c>
      <c r="E4" s="41">
        <v>86.754000000000005</v>
      </c>
      <c r="F4" s="41">
        <v>89.132000000000005</v>
      </c>
      <c r="G4" s="41">
        <v>91.991</v>
      </c>
      <c r="H4" s="41">
        <v>94.817999999999998</v>
      </c>
      <c r="I4" s="41">
        <v>97.334999999999994</v>
      </c>
      <c r="J4" s="41">
        <v>99.236000000000004</v>
      </c>
      <c r="K4" s="41">
        <v>100</v>
      </c>
      <c r="L4" s="41">
        <v>101.211</v>
      </c>
      <c r="M4" s="42">
        <v>103.199</v>
      </c>
      <c r="N4" s="42">
        <v>105.002</v>
      </c>
      <c r="O4" s="42">
        <v>106.58799999999999</v>
      </c>
      <c r="P4" s="42"/>
    </row>
    <row r="5" spans="1:16" x14ac:dyDescent="0.3">
      <c r="A5" s="40" t="s">
        <v>43</v>
      </c>
      <c r="B5" s="41">
        <f t="shared" ref="B5:H5" si="0">C4/B4</f>
        <v>1.0228962889694839</v>
      </c>
      <c r="C5" s="41">
        <f t="shared" si="0"/>
        <v>1.0153761669412411</v>
      </c>
      <c r="D5" s="41">
        <f t="shared" si="0"/>
        <v>1.0199873021844945</v>
      </c>
      <c r="E5" s="41">
        <f t="shared" si="0"/>
        <v>1.0274108398460013</v>
      </c>
      <c r="F5" s="41">
        <f t="shared" si="0"/>
        <v>1.0320760220796121</v>
      </c>
      <c r="G5" s="41">
        <f t="shared" si="0"/>
        <v>1.0307312671891815</v>
      </c>
      <c r="H5" s="41">
        <f t="shared" si="0"/>
        <v>1.0265455926089984</v>
      </c>
      <c r="I5" s="41">
        <f>J4/I4</f>
        <v>1.0195304874916526</v>
      </c>
      <c r="J5" s="41">
        <f t="shared" ref="J5:N5" si="1">K4/J4</f>
        <v>1.0076988189769842</v>
      </c>
      <c r="K5" s="41">
        <f t="shared" si="1"/>
        <v>1.0121100000000001</v>
      </c>
      <c r="L5" s="41">
        <f t="shared" si="1"/>
        <v>1.0196421337601644</v>
      </c>
      <c r="M5" s="41">
        <f t="shared" si="1"/>
        <v>1.0174710995261582</v>
      </c>
      <c r="N5" s="41">
        <f t="shared" si="1"/>
        <v>1.0151044742004913</v>
      </c>
      <c r="O5" s="41"/>
      <c r="P5" s="41">
        <f>AVERAGE(E5:N5)</f>
        <v>1.0208320735679244</v>
      </c>
    </row>
    <row r="6" spans="1:16" x14ac:dyDescent="0.3">
      <c r="A6" s="40" t="s">
        <v>44</v>
      </c>
      <c r="B6" s="41">
        <f t="shared" ref="B6:H6" si="2">$N4/B4</f>
        <v>1.2822166049993282</v>
      </c>
      <c r="C6" s="41">
        <f t="shared" si="2"/>
        <v>1.2535157462454933</v>
      </c>
      <c r="D6" s="41">
        <f t="shared" si="2"/>
        <v>1.2345333552801749</v>
      </c>
      <c r="E6" s="41">
        <f t="shared" si="2"/>
        <v>1.2103418862530833</v>
      </c>
      <c r="F6" s="41">
        <f t="shared" si="2"/>
        <v>1.178050531795539</v>
      </c>
      <c r="G6" s="41">
        <f t="shared" si="2"/>
        <v>1.1414377493450445</v>
      </c>
      <c r="H6" s="41">
        <f t="shared" si="2"/>
        <v>1.1074057668375203</v>
      </c>
      <c r="I6" s="41">
        <f>$N4/I4</f>
        <v>1.0787691991575488</v>
      </c>
      <c r="J6" s="41">
        <f t="shared" ref="J6:N6" si="3">$N4/J4</f>
        <v>1.0581039139022128</v>
      </c>
      <c r="K6" s="41">
        <f t="shared" si="3"/>
        <v>1.05002</v>
      </c>
      <c r="L6" s="41">
        <f t="shared" si="3"/>
        <v>1.0374564029601525</v>
      </c>
      <c r="M6" s="41">
        <f t="shared" si="3"/>
        <v>1.0174710995261582</v>
      </c>
      <c r="N6" s="41">
        <f t="shared" si="3"/>
        <v>1</v>
      </c>
      <c r="O6" s="41">
        <f t="shared" ref="O6" si="4">$N4/O4</f>
        <v>0.98512027620370024</v>
      </c>
      <c r="P6" s="41"/>
    </row>
    <row r="8" spans="1:16" x14ac:dyDescent="0.3">
      <c r="A8" s="43" t="s">
        <v>40</v>
      </c>
    </row>
    <row r="9" spans="1:16" x14ac:dyDescent="0.3">
      <c r="A9" s="44" t="s">
        <v>41</v>
      </c>
    </row>
  </sheetData>
  <hyperlinks>
    <hyperlink ref="A9"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16"/>
  <sheetViews>
    <sheetView workbookViewId="0">
      <selection activeCell="C10" sqref="C10:E16"/>
    </sheetView>
  </sheetViews>
  <sheetFormatPr defaultRowHeight="15" x14ac:dyDescent="0.25"/>
  <cols>
    <col min="2" max="2" width="24.28515625" bestFit="1" customWidth="1"/>
    <col min="3" max="3" width="7.5703125" bestFit="1" customWidth="1"/>
    <col min="4" max="5" width="6.85546875" bestFit="1" customWidth="1"/>
  </cols>
  <sheetData>
    <row r="2" spans="2:5" ht="14.45" x14ac:dyDescent="0.3">
      <c r="B2" s="100" t="s">
        <v>300</v>
      </c>
      <c r="C2" s="101">
        <f>D2-1</f>
        <v>2011</v>
      </c>
      <c r="D2" s="101">
        <f>E2-1</f>
        <v>2012</v>
      </c>
      <c r="E2" s="101">
        <f>MAX(INDEX(CRASH!1:1048576,,MATCH("Year",CRASH!1:1,0)))</f>
        <v>2013</v>
      </c>
    </row>
    <row r="3" spans="2:5" ht="14.45" x14ac:dyDescent="0.3">
      <c r="B3" s="12" t="s">
        <v>145</v>
      </c>
      <c r="C3" s="16">
        <f>SUMIFS(INDEX(CRASH!$1:$1048576,,MATCH($B3,CRASH!$1:$1,0)),INDEX(CRASH!$1:$1048576,,MATCH("Year",CRASH!$1:$1,0)),C$2)</f>
        <v>0</v>
      </c>
      <c r="D3" s="16">
        <f>SUMIFS(INDEX(CRASH!$1:$1048576,,MATCH($B3,CRASH!$1:$1,0)),INDEX(CRASH!$1:$1048576,,MATCH("Year",CRASH!$1:$1,0)),D$2)</f>
        <v>0</v>
      </c>
      <c r="E3" s="16">
        <f>SUMIFS(INDEX(CRASH!$1:$1048576,,MATCH($B3,CRASH!$1:$1,0)),INDEX(CRASH!$1:$1048576,,MATCH("Year",CRASH!$1:$1,0)),E$2)</f>
        <v>0</v>
      </c>
    </row>
    <row r="4" spans="2:5" ht="14.45" x14ac:dyDescent="0.3">
      <c r="B4" s="12" t="s">
        <v>151</v>
      </c>
      <c r="C4" s="16">
        <f>SUMIFS(INDEX(CRASH!$1:$1048576,,MATCH($B4,CRASH!$1:$1,0)),INDEX(CRASH!$1:$1048576,,MATCH("Year",CRASH!$1:$1,0)),C$2)</f>
        <v>0</v>
      </c>
      <c r="D4" s="16">
        <f>SUMIFS(INDEX(CRASH!$1:$1048576,,MATCH($B4,CRASH!$1:$1,0)),INDEX(CRASH!$1:$1048576,,MATCH("Year",CRASH!$1:$1,0)),D$2)</f>
        <v>0</v>
      </c>
      <c r="E4" s="16">
        <f>SUMIFS(INDEX(CRASH!$1:$1048576,,MATCH($B4,CRASH!$1:$1,0)),INDEX(CRASH!$1:$1048576,,MATCH("Year",CRASH!$1:$1,0)),E$2)</f>
        <v>1</v>
      </c>
    </row>
    <row r="5" spans="2:5" ht="14.45" x14ac:dyDescent="0.3">
      <c r="B5" s="12" t="s">
        <v>150</v>
      </c>
      <c r="C5" s="16">
        <f>SUMIFS(INDEX(CRASH!$1:$1048576,,MATCH($B5,CRASH!$1:$1,0)),INDEX(CRASH!$1:$1048576,,MATCH("Year",CRASH!$1:$1,0)),C$2)</f>
        <v>0</v>
      </c>
      <c r="D5" s="16">
        <f>SUMIFS(INDEX(CRASH!$1:$1048576,,MATCH($B5,CRASH!$1:$1,0)),INDEX(CRASH!$1:$1048576,,MATCH("Year",CRASH!$1:$1,0)),D$2)</f>
        <v>3</v>
      </c>
      <c r="E5" s="16">
        <f>SUMIFS(INDEX(CRASH!$1:$1048576,,MATCH($B5,CRASH!$1:$1,0)),INDEX(CRASH!$1:$1048576,,MATCH("Year",CRASH!$1:$1,0)),E$2)</f>
        <v>0</v>
      </c>
    </row>
    <row r="6" spans="2:5" ht="14.45" x14ac:dyDescent="0.3">
      <c r="B6" s="12" t="s">
        <v>149</v>
      </c>
      <c r="C6" s="16">
        <f>SUMIFS(INDEX(CRASH!$1:$1048576,,MATCH($B6,CRASH!$1:$1,0)),INDEX(CRASH!$1:$1048576,,MATCH("Year",CRASH!$1:$1,0)),C$2)</f>
        <v>0</v>
      </c>
      <c r="D6" s="16">
        <f>SUMIFS(INDEX(CRASH!$1:$1048576,,MATCH($B6,CRASH!$1:$1,0)),INDEX(CRASH!$1:$1048576,,MATCH("Year",CRASH!$1:$1,0)),D$2)</f>
        <v>0</v>
      </c>
      <c r="E6" s="16">
        <f>SUMIFS(INDEX(CRASH!$1:$1048576,,MATCH($B6,CRASH!$1:$1,0)),INDEX(CRASH!$1:$1048576,,MATCH("Year",CRASH!$1:$1,0)),E$2)</f>
        <v>0</v>
      </c>
    </row>
    <row r="7" spans="2:5" ht="14.45" x14ac:dyDescent="0.3">
      <c r="B7" s="12" t="s">
        <v>148</v>
      </c>
      <c r="C7" s="16">
        <f>SUMIFS(INDEX(CRASH!$1:$1048576,,MATCH($B7,CRASH!$1:$1,0)),INDEX(CRASH!$1:$1048576,,MATCH("Year",CRASH!$1:$1,0)),C$2)</f>
        <v>2</v>
      </c>
      <c r="D7" s="16">
        <f>SUMIFS(INDEX(CRASH!$1:$1048576,,MATCH($B7,CRASH!$1:$1,0)),INDEX(CRASH!$1:$1048576,,MATCH("Year",CRASH!$1:$1,0)),D$2)</f>
        <v>0</v>
      </c>
      <c r="E7" s="16">
        <f>SUMIFS(INDEX(CRASH!$1:$1048576,,MATCH($B7,CRASH!$1:$1,0)),INDEX(CRASH!$1:$1048576,,MATCH("Year",CRASH!$1:$1,0)),E$2)</f>
        <v>8</v>
      </c>
    </row>
    <row r="8" spans="2:5" ht="14.45" x14ac:dyDescent="0.3">
      <c r="B8" s="12" t="s">
        <v>147</v>
      </c>
      <c r="C8" s="16">
        <f>SUMIFS(INDEX(CRASH!$1:$1048576,,MATCH($B8,CRASH!$1:$1,0)),INDEX(CRASH!$1:$1048576,,MATCH("Year",CRASH!$1:$1,0)),C$2)</f>
        <v>0</v>
      </c>
      <c r="D8" s="16">
        <f>SUMIFS(INDEX(CRASH!$1:$1048576,,MATCH($B8,CRASH!$1:$1,0)),INDEX(CRASH!$1:$1048576,,MATCH("Year",CRASH!$1:$1,0)),D$2)</f>
        <v>0</v>
      </c>
      <c r="E8" s="16">
        <f>SUMIFS(INDEX(CRASH!$1:$1048576,,MATCH($B8,CRASH!$1:$1,0)),INDEX(CRASH!$1:$1048576,,MATCH("Year",CRASH!$1:$1,0)),E$2)</f>
        <v>0</v>
      </c>
    </row>
    <row r="10" spans="2:5" x14ac:dyDescent="0.25">
      <c r="B10" s="102" t="s">
        <v>310</v>
      </c>
      <c r="C10" s="73" t="s">
        <v>301</v>
      </c>
      <c r="D10" s="73" t="s">
        <v>303</v>
      </c>
      <c r="E10" s="73" t="s">
        <v>302</v>
      </c>
    </row>
    <row r="11" spans="2:5" ht="14.45" x14ac:dyDescent="0.3">
      <c r="C11" s="73">
        <v>0</v>
      </c>
      <c r="D11" s="73">
        <v>0</v>
      </c>
      <c r="E11" s="73">
        <v>0</v>
      </c>
    </row>
    <row r="12" spans="2:5" ht="14.45" x14ac:dyDescent="0.3">
      <c r="C12" s="73">
        <v>0</v>
      </c>
      <c r="D12" s="73">
        <v>0</v>
      </c>
      <c r="E12" s="73">
        <v>0</v>
      </c>
    </row>
    <row r="13" spans="2:5" ht="14.45" x14ac:dyDescent="0.3">
      <c r="C13" s="73">
        <v>0</v>
      </c>
      <c r="D13" s="73">
        <v>0</v>
      </c>
      <c r="E13" s="73">
        <v>0</v>
      </c>
    </row>
    <row r="14" spans="2:5" ht="14.45" x14ac:dyDescent="0.3">
      <c r="C14" s="73">
        <v>0</v>
      </c>
      <c r="D14" s="73">
        <v>0</v>
      </c>
      <c r="E14" s="73">
        <v>0</v>
      </c>
    </row>
    <row r="15" spans="2:5" ht="14.45" x14ac:dyDescent="0.3">
      <c r="C15" s="73">
        <v>0</v>
      </c>
      <c r="D15" s="73">
        <v>0</v>
      </c>
      <c r="E15" s="73">
        <v>0</v>
      </c>
    </row>
    <row r="16" spans="2:5" ht="14.45" x14ac:dyDescent="0.3">
      <c r="C16" s="73">
        <v>0</v>
      </c>
      <c r="D16" s="73">
        <v>0</v>
      </c>
      <c r="E16" s="7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45" x14ac:dyDescent="0.3">
      <c r="A3" s="14" t="s">
        <v>13</v>
      </c>
      <c r="D3" s="14" t="s">
        <v>32</v>
      </c>
      <c r="E3" s="15" t="s">
        <v>22</v>
      </c>
      <c r="G3" s="21" t="s">
        <v>26</v>
      </c>
      <c r="H3" s="21"/>
      <c r="I3" s="21" t="s">
        <v>33</v>
      </c>
      <c r="J3" s="21" t="s">
        <v>73</v>
      </c>
    </row>
    <row r="4" spans="1:10" ht="14.45" x14ac:dyDescent="0.3">
      <c r="A4" s="12" t="s">
        <v>18</v>
      </c>
      <c r="B4" s="13"/>
      <c r="D4" s="12" t="s">
        <v>68</v>
      </c>
      <c r="E4" s="68">
        <v>2015</v>
      </c>
      <c r="G4" s="19">
        <f>E4</f>
        <v>2015</v>
      </c>
      <c r="H4" s="19">
        <f>IF(G4&lt;2041,1,0)</f>
        <v>1</v>
      </c>
      <c r="I4" s="29">
        <f>IF($G4&lt;($G$4+$E$5),$E$17,0)*H4</f>
        <v>0</v>
      </c>
      <c r="J4" s="56">
        <f>I4*$B$18*$B$19/10^3</f>
        <v>0</v>
      </c>
    </row>
    <row r="5" spans="1:10" ht="14.45" x14ac:dyDescent="0.3">
      <c r="A5" s="12" t="s">
        <v>19</v>
      </c>
      <c r="B5" s="13"/>
      <c r="D5" s="12" t="s">
        <v>57</v>
      </c>
      <c r="E5" s="16">
        <v>10</v>
      </c>
      <c r="G5" s="20">
        <f t="shared" ref="G5:G29" si="0">G4+1</f>
        <v>2016</v>
      </c>
      <c r="H5" s="20">
        <f t="shared" ref="H5:H29" si="1">IF(G5&lt;2041,1,0)</f>
        <v>1</v>
      </c>
      <c r="I5" s="29">
        <f t="shared" ref="I5:I29" si="2">IF($G5&lt;($G$4+$E$5),$E$17,0)*H5</f>
        <v>0</v>
      </c>
      <c r="J5" s="63">
        <f t="shared" ref="J5:J24" si="3">I5*$B$18*$B$19/10^3</f>
        <v>0</v>
      </c>
    </row>
    <row r="6" spans="1:10" ht="14.45" x14ac:dyDescent="0.3">
      <c r="A6" s="12" t="s">
        <v>20</v>
      </c>
      <c r="B6" s="13">
        <v>1</v>
      </c>
      <c r="D6" s="118" t="s">
        <v>55</v>
      </c>
      <c r="E6" s="119"/>
      <c r="G6" s="19">
        <f t="shared" si="0"/>
        <v>2017</v>
      </c>
      <c r="H6" s="19">
        <f t="shared" si="1"/>
        <v>1</v>
      </c>
      <c r="I6" s="29">
        <f t="shared" si="2"/>
        <v>0</v>
      </c>
      <c r="J6" s="56">
        <f t="shared" si="3"/>
        <v>0</v>
      </c>
    </row>
    <row r="7" spans="1:10" ht="14.45" x14ac:dyDescent="0.3">
      <c r="A7" s="12" t="s">
        <v>71</v>
      </c>
      <c r="B7" s="31"/>
      <c r="D7" s="12" t="s">
        <v>65</v>
      </c>
      <c r="E7" s="16"/>
      <c r="G7" s="20">
        <f t="shared" si="0"/>
        <v>2018</v>
      </c>
      <c r="H7" s="20">
        <f t="shared" si="1"/>
        <v>1</v>
      </c>
      <c r="I7" s="29">
        <f t="shared" si="2"/>
        <v>0</v>
      </c>
      <c r="J7" s="63">
        <f t="shared" si="3"/>
        <v>0</v>
      </c>
    </row>
    <row r="8" spans="1:10" ht="14.45" x14ac:dyDescent="0.3">
      <c r="A8" s="30" t="s">
        <v>72</v>
      </c>
      <c r="B8" s="31"/>
      <c r="D8" s="12" t="s">
        <v>63</v>
      </c>
      <c r="E8" s="67">
        <v>1.1499999999999999</v>
      </c>
      <c r="G8" s="19">
        <f t="shared" si="0"/>
        <v>2019</v>
      </c>
      <c r="H8" s="19">
        <f t="shared" si="1"/>
        <v>1</v>
      </c>
      <c r="I8" s="29">
        <f t="shared" si="2"/>
        <v>0</v>
      </c>
      <c r="J8" s="56">
        <f t="shared" si="3"/>
        <v>0</v>
      </c>
    </row>
    <row r="9" spans="1:10" ht="14.45" x14ac:dyDescent="0.3">
      <c r="G9" s="20">
        <f t="shared" si="0"/>
        <v>2020</v>
      </c>
      <c r="H9" s="20">
        <f t="shared" si="1"/>
        <v>1</v>
      </c>
      <c r="I9" s="29">
        <f t="shared" si="2"/>
        <v>0</v>
      </c>
      <c r="J9" s="63">
        <f t="shared" si="3"/>
        <v>0</v>
      </c>
    </row>
    <row r="10" spans="1:10" ht="14.45" x14ac:dyDescent="0.3">
      <c r="A10" s="18" t="s">
        <v>31</v>
      </c>
      <c r="G10" s="19">
        <f t="shared" si="0"/>
        <v>2021</v>
      </c>
      <c r="H10" s="19">
        <f t="shared" si="1"/>
        <v>1</v>
      </c>
      <c r="I10" s="29">
        <f t="shared" si="2"/>
        <v>0</v>
      </c>
      <c r="J10" s="56">
        <f t="shared" si="3"/>
        <v>0</v>
      </c>
    </row>
    <row r="11" spans="1:10" ht="14.45" x14ac:dyDescent="0.3">
      <c r="A11" s="17" t="s">
        <v>67</v>
      </c>
      <c r="B11" s="65" t="e">
        <f>NPV($B$17,J4:J29)/(1+$B$17)^(E4-B16+1)</f>
        <v>#VALUE!</v>
      </c>
      <c r="G11" s="20">
        <f t="shared" si="0"/>
        <v>2022</v>
      </c>
      <c r="H11" s="20">
        <f t="shared" si="1"/>
        <v>1</v>
      </c>
      <c r="I11" s="29">
        <f t="shared" si="2"/>
        <v>0</v>
      </c>
      <c r="J11" s="63">
        <f t="shared" si="3"/>
        <v>0</v>
      </c>
    </row>
    <row r="12" spans="1:10" ht="14.45" x14ac:dyDescent="0.3">
      <c r="A12" s="17" t="s">
        <v>30</v>
      </c>
      <c r="B12" s="62" t="e">
        <f>B11/B7</f>
        <v>#VALUE!</v>
      </c>
      <c r="G12" s="19">
        <f t="shared" si="0"/>
        <v>2023</v>
      </c>
      <c r="H12" s="19">
        <f t="shared" si="1"/>
        <v>1</v>
      </c>
      <c r="I12" s="29">
        <f t="shared" si="2"/>
        <v>0</v>
      </c>
      <c r="J12" s="56">
        <f t="shared" si="3"/>
        <v>0</v>
      </c>
    </row>
    <row r="13" spans="1:10" ht="14.45" x14ac:dyDescent="0.3">
      <c r="G13" s="20">
        <f t="shared" si="0"/>
        <v>2024</v>
      </c>
      <c r="H13" s="20">
        <f t="shared" si="1"/>
        <v>1</v>
      </c>
      <c r="I13" s="29">
        <f t="shared" si="2"/>
        <v>0</v>
      </c>
      <c r="J13" s="63">
        <f t="shared" si="3"/>
        <v>0</v>
      </c>
    </row>
    <row r="14" spans="1:10" ht="14.45" x14ac:dyDescent="0.3">
      <c r="G14" s="19">
        <f>G13+1</f>
        <v>2025</v>
      </c>
      <c r="H14" s="19">
        <f t="shared" si="1"/>
        <v>1</v>
      </c>
      <c r="I14" s="29">
        <f t="shared" si="2"/>
        <v>0</v>
      </c>
      <c r="J14" s="56">
        <f t="shared" si="3"/>
        <v>0</v>
      </c>
    </row>
    <row r="15" spans="1:10" ht="14.45" x14ac:dyDescent="0.3">
      <c r="A15" s="22" t="s">
        <v>14</v>
      </c>
      <c r="G15" s="20">
        <f t="shared" si="0"/>
        <v>2026</v>
      </c>
      <c r="H15" s="20">
        <f t="shared" si="1"/>
        <v>1</v>
      </c>
      <c r="I15" s="29">
        <f t="shared" si="2"/>
        <v>0</v>
      </c>
      <c r="J15" s="63">
        <f t="shared" si="3"/>
        <v>0</v>
      </c>
    </row>
    <row r="16" spans="1:10" ht="14.45" x14ac:dyDescent="0.3">
      <c r="A16" s="23" t="s">
        <v>15</v>
      </c>
      <c r="B16" s="34">
        <f>'Assumed Values'!C5</f>
        <v>2015</v>
      </c>
      <c r="D16" s="22" t="s">
        <v>28</v>
      </c>
      <c r="E16" s="32" t="s">
        <v>22</v>
      </c>
      <c r="G16" s="19">
        <f t="shared" si="0"/>
        <v>2027</v>
      </c>
      <c r="H16" s="19">
        <f t="shared" si="1"/>
        <v>1</v>
      </c>
      <c r="I16" s="29">
        <f t="shared" si="2"/>
        <v>0</v>
      </c>
      <c r="J16" s="56">
        <f t="shared" si="3"/>
        <v>0</v>
      </c>
    </row>
    <row r="17" spans="1:10" ht="14.45" x14ac:dyDescent="0.3">
      <c r="A17" s="23" t="s">
        <v>16</v>
      </c>
      <c r="B17" s="24" t="str">
        <f>'Assumed Values'!C6</f>
        <v>3% and 7%</v>
      </c>
      <c r="D17" s="26" t="s">
        <v>64</v>
      </c>
      <c r="E17" s="27">
        <f>E7/E8</f>
        <v>0</v>
      </c>
      <c r="G17" s="20">
        <f t="shared" si="0"/>
        <v>2028</v>
      </c>
      <c r="H17" s="20">
        <f t="shared" si="1"/>
        <v>1</v>
      </c>
      <c r="I17" s="29">
        <f t="shared" si="2"/>
        <v>0</v>
      </c>
      <c r="J17" s="63">
        <f t="shared" si="3"/>
        <v>0</v>
      </c>
    </row>
    <row r="18" spans="1:10" ht="14.45" x14ac:dyDescent="0.3">
      <c r="A18" s="23" t="s">
        <v>17</v>
      </c>
      <c r="B18" s="23">
        <f>IF(B6=2,2.1, 1.1)</f>
        <v>1.1000000000000001</v>
      </c>
      <c r="G18" s="19">
        <f t="shared" si="0"/>
        <v>2029</v>
      </c>
      <c r="H18" s="19">
        <f t="shared" si="1"/>
        <v>1</v>
      </c>
      <c r="I18" s="29">
        <f t="shared" si="2"/>
        <v>0</v>
      </c>
      <c r="J18" s="56">
        <f t="shared" si="3"/>
        <v>0</v>
      </c>
    </row>
    <row r="19" spans="1:10" ht="14.45" x14ac:dyDescent="0.3">
      <c r="A19" s="23" t="s">
        <v>21</v>
      </c>
      <c r="B19" s="25">
        <f>'Assumed Values'!C15</f>
        <v>16.100000000000001</v>
      </c>
      <c r="G19" s="20">
        <f t="shared" si="0"/>
        <v>2030</v>
      </c>
      <c r="H19" s="20">
        <f t="shared" si="1"/>
        <v>1</v>
      </c>
      <c r="I19" s="29">
        <f t="shared" si="2"/>
        <v>0</v>
      </c>
      <c r="J19" s="63">
        <f t="shared" si="3"/>
        <v>0</v>
      </c>
    </row>
    <row r="20" spans="1:10" ht="14.45" x14ac:dyDescent="0.3">
      <c r="A20" s="23" t="s">
        <v>29</v>
      </c>
      <c r="B20" s="23">
        <v>260</v>
      </c>
      <c r="G20" s="19">
        <f t="shared" si="0"/>
        <v>2031</v>
      </c>
      <c r="H20" s="19">
        <f t="shared" si="1"/>
        <v>1</v>
      </c>
      <c r="I20" s="29">
        <f t="shared" si="2"/>
        <v>0</v>
      </c>
      <c r="J20" s="56">
        <f t="shared" si="3"/>
        <v>0</v>
      </c>
    </row>
    <row r="21" spans="1:10" ht="14.45" x14ac:dyDescent="0.3">
      <c r="G21" s="20">
        <f t="shared" si="0"/>
        <v>2032</v>
      </c>
      <c r="H21" s="20">
        <f t="shared" si="1"/>
        <v>1</v>
      </c>
      <c r="I21" s="29">
        <f t="shared" si="2"/>
        <v>0</v>
      </c>
      <c r="J21" s="63">
        <f t="shared" si="3"/>
        <v>0</v>
      </c>
    </row>
    <row r="22" spans="1:10" ht="14.45" x14ac:dyDescent="0.3">
      <c r="G22" s="19">
        <f t="shared" si="0"/>
        <v>2033</v>
      </c>
      <c r="H22" s="19">
        <f t="shared" si="1"/>
        <v>1</v>
      </c>
      <c r="I22" s="29">
        <f t="shared" si="2"/>
        <v>0</v>
      </c>
      <c r="J22" s="56">
        <f t="shared" si="3"/>
        <v>0</v>
      </c>
    </row>
    <row r="23" spans="1:10" ht="14.45" x14ac:dyDescent="0.3">
      <c r="G23" s="20">
        <f t="shared" si="0"/>
        <v>2034</v>
      </c>
      <c r="H23" s="20">
        <f t="shared" si="1"/>
        <v>1</v>
      </c>
      <c r="I23" s="29">
        <f t="shared" si="2"/>
        <v>0</v>
      </c>
      <c r="J23" s="63">
        <f t="shared" si="3"/>
        <v>0</v>
      </c>
    </row>
    <row r="24" spans="1:10" ht="14.45" x14ac:dyDescent="0.3">
      <c r="G24" s="19">
        <f t="shared" si="0"/>
        <v>2035</v>
      </c>
      <c r="H24" s="19">
        <f t="shared" si="1"/>
        <v>1</v>
      </c>
      <c r="I24" s="29">
        <f t="shared" si="2"/>
        <v>0</v>
      </c>
      <c r="J24" s="56">
        <f t="shared" si="3"/>
        <v>0</v>
      </c>
    </row>
    <row r="25" spans="1:10" ht="14.45" x14ac:dyDescent="0.3">
      <c r="G25" s="20">
        <f t="shared" si="0"/>
        <v>2036</v>
      </c>
      <c r="H25" s="20">
        <f t="shared" si="1"/>
        <v>1</v>
      </c>
      <c r="I25" s="29">
        <f t="shared" si="2"/>
        <v>0</v>
      </c>
      <c r="J25" s="63">
        <f t="shared" ref="J25:J29" si="4">I25*$B$18*$B$19/10^3</f>
        <v>0</v>
      </c>
    </row>
    <row r="26" spans="1:10" ht="14.45" x14ac:dyDescent="0.3">
      <c r="G26" s="19">
        <f t="shared" si="0"/>
        <v>2037</v>
      </c>
      <c r="H26" s="19">
        <f t="shared" si="1"/>
        <v>1</v>
      </c>
      <c r="I26" s="29">
        <f t="shared" si="2"/>
        <v>0</v>
      </c>
      <c r="J26" s="56">
        <f t="shared" si="4"/>
        <v>0</v>
      </c>
    </row>
    <row r="27" spans="1:10" ht="14.45" x14ac:dyDescent="0.3">
      <c r="G27" s="20">
        <f t="shared" si="0"/>
        <v>2038</v>
      </c>
      <c r="H27" s="20">
        <f t="shared" si="1"/>
        <v>1</v>
      </c>
      <c r="I27" s="29">
        <f t="shared" si="2"/>
        <v>0</v>
      </c>
      <c r="J27" s="63">
        <f t="shared" si="4"/>
        <v>0</v>
      </c>
    </row>
    <row r="28" spans="1:10" ht="14.45" x14ac:dyDescent="0.3">
      <c r="G28" s="19">
        <f t="shared" si="0"/>
        <v>2039</v>
      </c>
      <c r="H28" s="19">
        <f t="shared" si="1"/>
        <v>1</v>
      </c>
      <c r="I28" s="29">
        <f t="shared" si="2"/>
        <v>0</v>
      </c>
      <c r="J28" s="56">
        <f t="shared" si="4"/>
        <v>0</v>
      </c>
    </row>
    <row r="29" spans="1:10" ht="14.45" x14ac:dyDescent="0.3">
      <c r="A29" s="33"/>
      <c r="G29" s="20">
        <f t="shared" si="0"/>
        <v>2040</v>
      </c>
      <c r="H29" s="20">
        <f t="shared" si="1"/>
        <v>1</v>
      </c>
      <c r="I29" s="29">
        <f t="shared" si="2"/>
        <v>0</v>
      </c>
      <c r="J29" s="63">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45" x14ac:dyDescent="0.3">
      <c r="A3" s="14" t="s">
        <v>13</v>
      </c>
      <c r="D3" s="14" t="s">
        <v>53</v>
      </c>
      <c r="E3" s="15" t="s">
        <v>22</v>
      </c>
      <c r="G3" s="21" t="s">
        <v>26</v>
      </c>
      <c r="H3" s="21" t="s">
        <v>62</v>
      </c>
      <c r="I3" s="21" t="s">
        <v>78</v>
      </c>
      <c r="J3" s="21" t="s">
        <v>61</v>
      </c>
      <c r="K3" s="21" t="s">
        <v>79</v>
      </c>
    </row>
    <row r="4" spans="1:11" ht="14.45" x14ac:dyDescent="0.3">
      <c r="A4" s="12" t="s">
        <v>18</v>
      </c>
      <c r="B4" s="13"/>
      <c r="D4" s="12" t="s">
        <v>68</v>
      </c>
      <c r="E4" s="68">
        <v>2015</v>
      </c>
      <c r="G4" s="19">
        <f>E4</f>
        <v>2015</v>
      </c>
      <c r="H4" s="59">
        <f t="shared" ref="H4:H24" si="0">IF($G4&lt;($G$4+$E$5),$E$17,0)</f>
        <v>0</v>
      </c>
      <c r="I4" s="58">
        <f>H4*$B$20/10^3</f>
        <v>0</v>
      </c>
      <c r="J4" s="59">
        <f t="shared" ref="J4:J24" si="1">IF($G4&lt;($G$4+$E$5),$E$18,0)</f>
        <v>0</v>
      </c>
      <c r="K4" s="58">
        <f>J4*$B$21/10^3</f>
        <v>0</v>
      </c>
    </row>
    <row r="5" spans="1:11" ht="14.45" x14ac:dyDescent="0.3">
      <c r="A5" s="12" t="s">
        <v>19</v>
      </c>
      <c r="B5" s="13"/>
      <c r="D5" s="12" t="s">
        <v>57</v>
      </c>
      <c r="E5" s="16">
        <v>10</v>
      </c>
      <c r="G5" s="20">
        <f t="shared" ref="G5:G29" si="2">G4+1</f>
        <v>2016</v>
      </c>
      <c r="H5" s="59">
        <f t="shared" si="0"/>
        <v>0</v>
      </c>
      <c r="I5" s="60">
        <f t="shared" ref="I5:I24" si="3">H5*$B$20/10^3</f>
        <v>0</v>
      </c>
      <c r="J5" s="59">
        <f t="shared" si="1"/>
        <v>0</v>
      </c>
      <c r="K5" s="60">
        <f t="shared" ref="K5:K24" si="4">J5*$B$21/10^3</f>
        <v>0</v>
      </c>
    </row>
    <row r="6" spans="1:11" ht="14.45" x14ac:dyDescent="0.3">
      <c r="A6" s="12" t="s">
        <v>58</v>
      </c>
      <c r="B6" s="13">
        <v>2</v>
      </c>
      <c r="D6" s="118" t="s">
        <v>55</v>
      </c>
      <c r="E6" s="119"/>
      <c r="G6" s="19">
        <f t="shared" si="2"/>
        <v>2017</v>
      </c>
      <c r="H6" s="59">
        <f t="shared" si="0"/>
        <v>0</v>
      </c>
      <c r="I6" s="58">
        <f t="shared" si="3"/>
        <v>0</v>
      </c>
      <c r="J6" s="59">
        <f t="shared" si="1"/>
        <v>0</v>
      </c>
      <c r="K6" s="58">
        <f t="shared" si="4"/>
        <v>0</v>
      </c>
    </row>
    <row r="7" spans="1:11" ht="14.45" x14ac:dyDescent="0.3">
      <c r="A7" s="12" t="s">
        <v>71</v>
      </c>
      <c r="B7" s="31"/>
      <c r="D7" s="12" t="s">
        <v>54</v>
      </c>
      <c r="E7" s="16"/>
      <c r="G7" s="20">
        <f t="shared" si="2"/>
        <v>2018</v>
      </c>
      <c r="H7" s="59">
        <f t="shared" si="0"/>
        <v>0</v>
      </c>
      <c r="I7" s="60">
        <f t="shared" si="3"/>
        <v>0</v>
      </c>
      <c r="J7" s="59">
        <f t="shared" si="1"/>
        <v>0</v>
      </c>
      <c r="K7" s="60">
        <f t="shared" si="4"/>
        <v>0</v>
      </c>
    </row>
    <row r="8" spans="1:11" ht="14.45" x14ac:dyDescent="0.3">
      <c r="A8" s="30" t="s">
        <v>72</v>
      </c>
      <c r="B8" s="31"/>
      <c r="D8" s="118" t="s">
        <v>56</v>
      </c>
      <c r="E8" s="119"/>
      <c r="G8" s="19">
        <f t="shared" si="2"/>
        <v>2019</v>
      </c>
      <c r="H8" s="59">
        <f t="shared" si="0"/>
        <v>0</v>
      </c>
      <c r="I8" s="58">
        <f t="shared" si="3"/>
        <v>0</v>
      </c>
      <c r="J8" s="59">
        <f t="shared" si="1"/>
        <v>0</v>
      </c>
      <c r="K8" s="58">
        <f t="shared" si="4"/>
        <v>0</v>
      </c>
    </row>
    <row r="9" spans="1:11" ht="14.45" x14ac:dyDescent="0.3">
      <c r="D9" s="12" t="s">
        <v>59</v>
      </c>
      <c r="E9" s="16"/>
      <c r="G9" s="20">
        <f t="shared" si="2"/>
        <v>2020</v>
      </c>
      <c r="H9" s="59">
        <f t="shared" si="0"/>
        <v>0</v>
      </c>
      <c r="I9" s="60">
        <f t="shared" si="3"/>
        <v>0</v>
      </c>
      <c r="J9" s="59">
        <f t="shared" si="1"/>
        <v>0</v>
      </c>
      <c r="K9" s="60">
        <f t="shared" si="4"/>
        <v>0</v>
      </c>
    </row>
    <row r="10" spans="1:11" ht="14.45" x14ac:dyDescent="0.3">
      <c r="A10" s="18" t="s">
        <v>31</v>
      </c>
      <c r="D10" s="12" t="s">
        <v>60</v>
      </c>
      <c r="E10" s="16"/>
      <c r="G10" s="19">
        <f t="shared" si="2"/>
        <v>2021</v>
      </c>
      <c r="H10" s="59">
        <f t="shared" si="0"/>
        <v>0</v>
      </c>
      <c r="I10" s="58">
        <f t="shared" si="3"/>
        <v>0</v>
      </c>
      <c r="J10" s="59">
        <f t="shared" si="1"/>
        <v>0</v>
      </c>
      <c r="K10" s="58">
        <f t="shared" si="4"/>
        <v>0</v>
      </c>
    </row>
    <row r="11" spans="1:11" ht="14.45" x14ac:dyDescent="0.3">
      <c r="A11" s="17" t="s">
        <v>80</v>
      </c>
      <c r="B11" s="61">
        <f>(NPV($B$17,K4:K24)+NPV($B$17,I4:I24))/(1+$B$17)^2</f>
        <v>0</v>
      </c>
      <c r="G11" s="20">
        <f t="shared" si="2"/>
        <v>2022</v>
      </c>
      <c r="H11" s="59">
        <f t="shared" si="0"/>
        <v>0</v>
      </c>
      <c r="I11" s="60">
        <f t="shared" si="3"/>
        <v>0</v>
      </c>
      <c r="J11" s="59">
        <f t="shared" si="1"/>
        <v>0</v>
      </c>
      <c r="K11" s="60">
        <f t="shared" si="4"/>
        <v>0</v>
      </c>
    </row>
    <row r="12" spans="1:11" ht="14.45" x14ac:dyDescent="0.3">
      <c r="A12" s="17" t="s">
        <v>30</v>
      </c>
      <c r="B12" s="62" t="e">
        <f>B11/B7</f>
        <v>#DIV/0!</v>
      </c>
      <c r="G12" s="19">
        <f t="shared" si="2"/>
        <v>2023</v>
      </c>
      <c r="H12" s="59">
        <f t="shared" si="0"/>
        <v>0</v>
      </c>
      <c r="I12" s="58">
        <f t="shared" si="3"/>
        <v>0</v>
      </c>
      <c r="J12" s="59">
        <f t="shared" si="1"/>
        <v>0</v>
      </c>
      <c r="K12" s="58">
        <f t="shared" si="4"/>
        <v>0</v>
      </c>
    </row>
    <row r="13" spans="1:11" ht="14.45" x14ac:dyDescent="0.3">
      <c r="A13" s="17" t="s">
        <v>81</v>
      </c>
      <c r="B13" s="61" t="e">
        <f>B7*(B17/(1-(1+B17)^(-E5))/(SUM(H4:H29)+SUM(J4:J29)))</f>
        <v>#DIV/0!</v>
      </c>
      <c r="G13" s="20">
        <f t="shared" si="2"/>
        <v>2024</v>
      </c>
      <c r="H13" s="59">
        <f t="shared" si="0"/>
        <v>0</v>
      </c>
      <c r="I13" s="60">
        <f t="shared" si="3"/>
        <v>0</v>
      </c>
      <c r="J13" s="59">
        <f t="shared" si="1"/>
        <v>0</v>
      </c>
      <c r="K13" s="60">
        <f t="shared" si="4"/>
        <v>0</v>
      </c>
    </row>
    <row r="14" spans="1:11" ht="14.45" x14ac:dyDescent="0.3">
      <c r="G14" s="19">
        <f>G13+1</f>
        <v>2025</v>
      </c>
      <c r="H14" s="59">
        <f t="shared" si="0"/>
        <v>0</v>
      </c>
      <c r="I14" s="58">
        <f t="shared" si="3"/>
        <v>0</v>
      </c>
      <c r="J14" s="59">
        <f t="shared" si="1"/>
        <v>0</v>
      </c>
      <c r="K14" s="58">
        <f t="shared" si="4"/>
        <v>0</v>
      </c>
    </row>
    <row r="15" spans="1:11" ht="14.45" x14ac:dyDescent="0.3">
      <c r="A15" s="22" t="s">
        <v>14</v>
      </c>
      <c r="G15" s="20">
        <f t="shared" si="2"/>
        <v>2026</v>
      </c>
      <c r="H15" s="59">
        <f t="shared" si="0"/>
        <v>0</v>
      </c>
      <c r="I15" s="60">
        <f t="shared" si="3"/>
        <v>0</v>
      </c>
      <c r="J15" s="59">
        <f t="shared" si="1"/>
        <v>0</v>
      </c>
      <c r="K15" s="60">
        <f t="shared" si="4"/>
        <v>0</v>
      </c>
    </row>
    <row r="16" spans="1:11" ht="14.45" x14ac:dyDescent="0.3">
      <c r="A16" s="23" t="s">
        <v>15</v>
      </c>
      <c r="B16" s="34">
        <v>2015</v>
      </c>
      <c r="D16" s="22" t="s">
        <v>28</v>
      </c>
      <c r="E16" s="32" t="s">
        <v>22</v>
      </c>
      <c r="G16" s="19">
        <f t="shared" si="2"/>
        <v>2027</v>
      </c>
      <c r="H16" s="59">
        <f t="shared" si="0"/>
        <v>0</v>
      </c>
      <c r="I16" s="58">
        <f t="shared" si="3"/>
        <v>0</v>
      </c>
      <c r="J16" s="59">
        <f t="shared" si="1"/>
        <v>0</v>
      </c>
      <c r="K16" s="58">
        <f t="shared" si="4"/>
        <v>0</v>
      </c>
    </row>
    <row r="17" spans="1:11" ht="14.45" x14ac:dyDescent="0.3">
      <c r="A17" s="23" t="s">
        <v>16</v>
      </c>
      <c r="B17" s="24">
        <v>7.0000000000000007E-2</v>
      </c>
      <c r="D17" s="26" t="s">
        <v>59</v>
      </c>
      <c r="E17" s="55">
        <f>IF(E9,E9,$E$7*B18*$B$22/10^6)</f>
        <v>0</v>
      </c>
      <c r="G17" s="20">
        <f t="shared" si="2"/>
        <v>2028</v>
      </c>
      <c r="H17" s="59">
        <f t="shared" si="0"/>
        <v>0</v>
      </c>
      <c r="I17" s="60">
        <f t="shared" si="3"/>
        <v>0</v>
      </c>
      <c r="J17" s="59">
        <f t="shared" si="1"/>
        <v>0</v>
      </c>
      <c r="K17" s="60">
        <f t="shared" si="4"/>
        <v>0</v>
      </c>
    </row>
    <row r="18" spans="1:11" ht="14.45" x14ac:dyDescent="0.3">
      <c r="A18" s="23" t="s">
        <v>51</v>
      </c>
      <c r="B18" s="66">
        <f>IF($B$6=2,'Assumed Values'!C21,0)</f>
        <v>0.32340150000000001</v>
      </c>
      <c r="D18" s="26" t="s">
        <v>60</v>
      </c>
      <c r="E18" s="55">
        <f>IF(E10,E10,$E$7*B19*$B$22/10^6)</f>
        <v>0</v>
      </c>
      <c r="G18" s="19">
        <f t="shared" si="2"/>
        <v>2029</v>
      </c>
      <c r="H18" s="59">
        <f t="shared" si="0"/>
        <v>0</v>
      </c>
      <c r="I18" s="58">
        <f t="shared" si="3"/>
        <v>0</v>
      </c>
      <c r="J18" s="59">
        <f t="shared" si="1"/>
        <v>0</v>
      </c>
      <c r="K18" s="58">
        <f t="shared" si="4"/>
        <v>0</v>
      </c>
    </row>
    <row r="19" spans="1:11" ht="14.45" x14ac:dyDescent="0.3">
      <c r="A19" s="23" t="s">
        <v>52</v>
      </c>
      <c r="B19" s="66">
        <f>IF($B$6=2,'Assumed Values'!C22,0)</f>
        <v>0.19106300000000001</v>
      </c>
      <c r="G19" s="20">
        <f t="shared" si="2"/>
        <v>2030</v>
      </c>
      <c r="H19" s="59">
        <f t="shared" si="0"/>
        <v>0</v>
      </c>
      <c r="I19" s="60">
        <f t="shared" si="3"/>
        <v>0</v>
      </c>
      <c r="J19" s="59">
        <f t="shared" si="1"/>
        <v>0</v>
      </c>
      <c r="K19" s="60">
        <f t="shared" si="4"/>
        <v>0</v>
      </c>
    </row>
    <row r="20" spans="1:11" ht="14.45" x14ac:dyDescent="0.3">
      <c r="A20" s="23" t="s">
        <v>86</v>
      </c>
      <c r="B20" s="57">
        <f>'Assumed Values'!C19</f>
        <v>2083.1541467275511</v>
      </c>
      <c r="G20" s="19">
        <f t="shared" si="2"/>
        <v>2031</v>
      </c>
      <c r="H20" s="59">
        <f t="shared" si="0"/>
        <v>0</v>
      </c>
      <c r="I20" s="58">
        <f t="shared" si="3"/>
        <v>0</v>
      </c>
      <c r="J20" s="59">
        <f t="shared" si="1"/>
        <v>0</v>
      </c>
      <c r="K20" s="58">
        <f t="shared" si="4"/>
        <v>0</v>
      </c>
    </row>
    <row r="21" spans="1:11" ht="14.45" x14ac:dyDescent="0.3">
      <c r="A21" s="23" t="s">
        <v>87</v>
      </c>
      <c r="B21" s="57">
        <f>'Assumed Values'!C20</f>
        <v>8208.6069103416321</v>
      </c>
      <c r="G21" s="20">
        <f t="shared" si="2"/>
        <v>2032</v>
      </c>
      <c r="H21" s="59">
        <f t="shared" si="0"/>
        <v>0</v>
      </c>
      <c r="I21" s="60">
        <f t="shared" si="3"/>
        <v>0</v>
      </c>
      <c r="J21" s="59">
        <f t="shared" si="1"/>
        <v>0</v>
      </c>
      <c r="K21" s="60">
        <f t="shared" si="4"/>
        <v>0</v>
      </c>
    </row>
    <row r="22" spans="1:11" ht="14.45" x14ac:dyDescent="0.3">
      <c r="A22" s="23" t="s">
        <v>29</v>
      </c>
      <c r="B22" s="23">
        <v>260</v>
      </c>
      <c r="G22" s="19">
        <f t="shared" si="2"/>
        <v>2033</v>
      </c>
      <c r="H22" s="59">
        <f t="shared" si="0"/>
        <v>0</v>
      </c>
      <c r="I22" s="58">
        <f t="shared" si="3"/>
        <v>0</v>
      </c>
      <c r="J22" s="59">
        <f t="shared" si="1"/>
        <v>0</v>
      </c>
      <c r="K22" s="58">
        <f t="shared" si="4"/>
        <v>0</v>
      </c>
    </row>
    <row r="23" spans="1:11" ht="14.45" x14ac:dyDescent="0.3">
      <c r="G23" s="20">
        <f t="shared" si="2"/>
        <v>2034</v>
      </c>
      <c r="H23" s="59">
        <f t="shared" si="0"/>
        <v>0</v>
      </c>
      <c r="I23" s="60">
        <f t="shared" si="3"/>
        <v>0</v>
      </c>
      <c r="J23" s="59">
        <f t="shared" si="1"/>
        <v>0</v>
      </c>
      <c r="K23" s="60">
        <f t="shared" si="4"/>
        <v>0</v>
      </c>
    </row>
    <row r="24" spans="1:11" ht="14.45" x14ac:dyDescent="0.3">
      <c r="G24" s="19">
        <f t="shared" si="2"/>
        <v>2035</v>
      </c>
      <c r="H24" s="59">
        <f t="shared" si="0"/>
        <v>0</v>
      </c>
      <c r="I24" s="58">
        <f t="shared" si="3"/>
        <v>0</v>
      </c>
      <c r="J24" s="59">
        <f t="shared" si="1"/>
        <v>0</v>
      </c>
      <c r="K24" s="58">
        <f t="shared" si="4"/>
        <v>0</v>
      </c>
    </row>
    <row r="25" spans="1:11" ht="14.45" x14ac:dyDescent="0.3">
      <c r="G25" s="20">
        <f t="shared" si="2"/>
        <v>2036</v>
      </c>
      <c r="H25" s="59">
        <f t="shared" ref="H25:H28" si="5">IF($G25&lt;($G$4+$E$5),$E$17,0)</f>
        <v>0</v>
      </c>
      <c r="I25" s="60">
        <f t="shared" ref="I25:I29" si="6">H25*$B$20/10^3</f>
        <v>0</v>
      </c>
      <c r="J25" s="59">
        <f t="shared" ref="J25:J28" si="7">IF($G25&lt;($G$4+$E$5),$E$18,0)</f>
        <v>0</v>
      </c>
      <c r="K25" s="60">
        <f t="shared" ref="K25:K29" si="8">J25*$B$21/10^3</f>
        <v>0</v>
      </c>
    </row>
    <row r="26" spans="1:11" ht="14.45" x14ac:dyDescent="0.3">
      <c r="G26" s="19">
        <f t="shared" si="2"/>
        <v>2037</v>
      </c>
      <c r="H26" s="59">
        <f t="shared" si="5"/>
        <v>0</v>
      </c>
      <c r="I26" s="58">
        <f t="shared" si="6"/>
        <v>0</v>
      </c>
      <c r="J26" s="59">
        <f t="shared" si="7"/>
        <v>0</v>
      </c>
      <c r="K26" s="58">
        <f t="shared" si="8"/>
        <v>0</v>
      </c>
    </row>
    <row r="27" spans="1:11" ht="14.45" x14ac:dyDescent="0.3">
      <c r="G27" s="20">
        <f t="shared" si="2"/>
        <v>2038</v>
      </c>
      <c r="H27" s="59">
        <f t="shared" si="5"/>
        <v>0</v>
      </c>
      <c r="I27" s="60">
        <f t="shared" si="6"/>
        <v>0</v>
      </c>
      <c r="J27" s="59">
        <f t="shared" si="7"/>
        <v>0</v>
      </c>
      <c r="K27" s="60">
        <f t="shared" si="8"/>
        <v>0</v>
      </c>
    </row>
    <row r="28" spans="1:11" ht="14.45" x14ac:dyDescent="0.3">
      <c r="G28" s="19">
        <f t="shared" si="2"/>
        <v>2039</v>
      </c>
      <c r="H28" s="59">
        <f t="shared" si="5"/>
        <v>0</v>
      </c>
      <c r="I28" s="58">
        <f t="shared" si="6"/>
        <v>0</v>
      </c>
      <c r="J28" s="59">
        <f t="shared" si="7"/>
        <v>0</v>
      </c>
      <c r="K28" s="58">
        <f t="shared" si="8"/>
        <v>0</v>
      </c>
    </row>
    <row r="29" spans="1:11" ht="14.45" x14ac:dyDescent="0.3">
      <c r="G29" s="20">
        <f t="shared" si="2"/>
        <v>2040</v>
      </c>
      <c r="H29" s="59">
        <f>IF($G29&lt;($G$4+$E$5),$E$17,0)</f>
        <v>0</v>
      </c>
      <c r="I29" s="60">
        <f t="shared" si="6"/>
        <v>0</v>
      </c>
      <c r="J29" s="59">
        <f>IF($G29&lt;($G$4+$E$5),$E$18,0)</f>
        <v>0</v>
      </c>
      <c r="K29" s="60">
        <f t="shared" si="8"/>
        <v>0</v>
      </c>
    </row>
    <row r="31" spans="1:11" ht="14.45" x14ac:dyDescent="0.3">
      <c r="A31" s="33"/>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pageSetUpPr fitToPage="1"/>
  </sheetPr>
  <dimension ref="A3:H62"/>
  <sheetViews>
    <sheetView tabSelected="1" zoomScale="80" zoomScaleNormal="80" workbookViewId="0">
      <selection activeCell="D21" sqref="D21"/>
    </sheetView>
  </sheetViews>
  <sheetFormatPr defaultRowHeight="15" x14ac:dyDescent="0.25"/>
  <cols>
    <col min="1" max="1" width="45.140625" bestFit="1" customWidth="1"/>
    <col min="2" max="2" width="12.5703125" customWidth="1"/>
    <col min="3" max="3" width="5.28515625" customWidth="1"/>
    <col min="4" max="4" width="33.7109375" customWidth="1"/>
    <col min="5" max="5" width="8.7109375" customWidth="1"/>
    <col min="6" max="6" width="9.140625" customWidth="1"/>
    <col min="7" max="7" width="8.7109375" customWidth="1"/>
    <col min="8" max="8" width="10.85546875" customWidth="1"/>
  </cols>
  <sheetData>
    <row r="3" spans="1:8" ht="18" x14ac:dyDescent="0.35">
      <c r="A3" s="92" t="s">
        <v>138</v>
      </c>
      <c r="B3" s="93"/>
      <c r="C3" s="93"/>
      <c r="D3" s="93"/>
      <c r="E3" s="93"/>
      <c r="F3" s="93"/>
      <c r="G3" s="93"/>
      <c r="H3" s="93"/>
    </row>
    <row r="5" spans="1:8" ht="14.45" x14ac:dyDescent="0.3">
      <c r="A5" s="14" t="s">
        <v>309</v>
      </c>
    </row>
    <row r="6" spans="1:8" ht="14.45" x14ac:dyDescent="0.3">
      <c r="A6" s="12" t="s">
        <v>18</v>
      </c>
      <c r="B6" s="117" t="s">
        <v>321</v>
      </c>
      <c r="D6" s="115" t="s">
        <v>307</v>
      </c>
      <c r="E6" s="116"/>
      <c r="F6" s="116"/>
    </row>
    <row r="7" spans="1:8" ht="14.45" x14ac:dyDescent="0.3">
      <c r="A7" s="12" t="s">
        <v>118</v>
      </c>
      <c r="B7" s="13">
        <v>300840</v>
      </c>
    </row>
    <row r="8" spans="1:8" ht="14.45" x14ac:dyDescent="0.3">
      <c r="A8" s="12" t="s">
        <v>119</v>
      </c>
      <c r="B8" s="13"/>
    </row>
    <row r="9" spans="1:8" ht="14.45" x14ac:dyDescent="0.3">
      <c r="D9" s="110" t="s">
        <v>300</v>
      </c>
      <c r="E9" s="111" t="s">
        <v>301</v>
      </c>
      <c r="F9" s="111" t="s">
        <v>303</v>
      </c>
      <c r="G9" s="111" t="s">
        <v>302</v>
      </c>
      <c r="H9" s="111" t="s">
        <v>304</v>
      </c>
    </row>
    <row r="10" spans="1:8" ht="14.45" x14ac:dyDescent="0.3">
      <c r="A10" s="14" t="s">
        <v>308</v>
      </c>
      <c r="D10" s="113" t="s">
        <v>145</v>
      </c>
      <c r="E10" s="114">
        <v>0</v>
      </c>
      <c r="F10" s="114">
        <v>0</v>
      </c>
      <c r="G10" s="114">
        <v>0</v>
      </c>
      <c r="H10" s="112">
        <f>AVERAGE(E10:G10)</f>
        <v>0</v>
      </c>
    </row>
    <row r="11" spans="1:8" ht="14.45" x14ac:dyDescent="0.3">
      <c r="A11" s="12" t="s">
        <v>318</v>
      </c>
      <c r="B11" s="68">
        <v>2020</v>
      </c>
      <c r="D11" s="113" t="s">
        <v>151</v>
      </c>
      <c r="E11" s="114">
        <v>2</v>
      </c>
      <c r="F11" s="114">
        <v>1</v>
      </c>
      <c r="G11" s="114">
        <v>3</v>
      </c>
      <c r="H11" s="112">
        <f>AVERAGE(E11:G11)</f>
        <v>2</v>
      </c>
    </row>
    <row r="12" spans="1:8" ht="14.45" x14ac:dyDescent="0.3">
      <c r="A12" s="12" t="s">
        <v>320</v>
      </c>
      <c r="B12" s="108">
        <v>0.25</v>
      </c>
      <c r="D12" s="113" t="s">
        <v>150</v>
      </c>
      <c r="E12" s="114">
        <v>2</v>
      </c>
      <c r="F12" s="114">
        <v>6</v>
      </c>
      <c r="G12" s="114">
        <v>17</v>
      </c>
      <c r="H12" s="112">
        <f t="shared" ref="H12:H15" si="0">AVERAGE(E12:G12)</f>
        <v>8.3333333333333339</v>
      </c>
    </row>
    <row r="13" spans="1:8" ht="14.45" x14ac:dyDescent="0.3">
      <c r="A13" s="12" t="s">
        <v>319</v>
      </c>
      <c r="B13" s="68">
        <v>20</v>
      </c>
      <c r="D13" s="113" t="s">
        <v>149</v>
      </c>
      <c r="E13" s="114">
        <v>19</v>
      </c>
      <c r="F13" s="114">
        <v>11</v>
      </c>
      <c r="G13" s="114">
        <v>16</v>
      </c>
      <c r="H13" s="112">
        <f t="shared" si="0"/>
        <v>15.333333333333334</v>
      </c>
    </row>
    <row r="14" spans="1:8" ht="14.45" x14ac:dyDescent="0.3">
      <c r="D14" s="113" t="s">
        <v>148</v>
      </c>
      <c r="E14" s="114">
        <v>93</v>
      </c>
      <c r="F14" s="114">
        <v>90</v>
      </c>
      <c r="G14" s="114">
        <v>124</v>
      </c>
      <c r="H14" s="112">
        <f t="shared" si="0"/>
        <v>102.33333333333333</v>
      </c>
    </row>
    <row r="15" spans="1:8" ht="14.45" x14ac:dyDescent="0.3">
      <c r="A15" s="14" t="s">
        <v>120</v>
      </c>
      <c r="B15" s="15" t="s">
        <v>22</v>
      </c>
      <c r="D15" s="113" t="s">
        <v>147</v>
      </c>
      <c r="E15" s="114">
        <v>4</v>
      </c>
      <c r="F15" s="114">
        <v>0</v>
      </c>
      <c r="G15" s="114">
        <v>2</v>
      </c>
      <c r="H15" s="112">
        <f t="shared" si="0"/>
        <v>2</v>
      </c>
    </row>
    <row r="16" spans="1:8" ht="14.45" x14ac:dyDescent="0.3">
      <c r="A16" s="12" t="s">
        <v>127</v>
      </c>
      <c r="B16" s="16">
        <v>27000</v>
      </c>
    </row>
    <row r="17" spans="1:8" ht="14.45" x14ac:dyDescent="0.3">
      <c r="A17" s="12" t="s">
        <v>128</v>
      </c>
      <c r="B17" s="16">
        <v>32000</v>
      </c>
    </row>
    <row r="18" spans="1:8" ht="14.45" x14ac:dyDescent="0.3">
      <c r="A18" s="96" t="s">
        <v>112</v>
      </c>
      <c r="B18" s="97">
        <v>31000</v>
      </c>
    </row>
    <row r="19" spans="1:8" ht="14.45" x14ac:dyDescent="0.3">
      <c r="A19" s="96" t="s">
        <v>113</v>
      </c>
      <c r="B19" s="97">
        <v>32000</v>
      </c>
    </row>
    <row r="20" spans="1:8" ht="14.45" x14ac:dyDescent="0.3">
      <c r="A20" s="12" t="s">
        <v>69</v>
      </c>
      <c r="B20" s="16">
        <v>37000</v>
      </c>
    </row>
    <row r="21" spans="1:8" ht="14.45" x14ac:dyDescent="0.3">
      <c r="A21" s="12" t="s">
        <v>70</v>
      </c>
      <c r="B21" s="16">
        <v>32000</v>
      </c>
    </row>
    <row r="26" spans="1:8" ht="18.75" x14ac:dyDescent="0.3">
      <c r="A26" s="92" t="s">
        <v>139</v>
      </c>
      <c r="B26" s="93"/>
      <c r="C26" s="93"/>
      <c r="D26" s="93"/>
      <c r="E26" s="93"/>
      <c r="F26" s="93"/>
      <c r="G26" s="93"/>
      <c r="H26" s="93"/>
    </row>
    <row r="28" spans="1:8" x14ac:dyDescent="0.25">
      <c r="A28" s="18" t="s">
        <v>137</v>
      </c>
    </row>
    <row r="29" spans="1:8" x14ac:dyDescent="0.25">
      <c r="A29" s="17" t="s">
        <v>305</v>
      </c>
      <c r="B29" s="65">
        <f>NPV(7%,Value_of_Delay_Savings__2015_____000s)/(1+7%)^(2018-2015-1)</f>
        <v>8102.5037758661274</v>
      </c>
      <c r="C29" s="95"/>
    </row>
    <row r="30" spans="1:8" x14ac:dyDescent="0.25">
      <c r="A30" s="17" t="s">
        <v>306</v>
      </c>
      <c r="B30" s="65">
        <f>NPV(3%,Value_of_Delay_Savings__2015_____000s)/(1+3%)^(2018-2015-1)</f>
        <v>13348.962877580829</v>
      </c>
      <c r="C30" s="95"/>
    </row>
    <row r="38" spans="1:1" x14ac:dyDescent="0.25">
      <c r="A38" s="33"/>
    </row>
    <row r="61" spans="1:1" x14ac:dyDescent="0.25">
      <c r="A61" s="11"/>
    </row>
    <row r="62" spans="1:1" x14ac:dyDescent="0.25">
      <c r="A62" s="11"/>
    </row>
  </sheetData>
  <pageMargins left="0.25" right="0.25" top="0.75" bottom="0.75" header="0.3" footer="0.3"/>
  <pageSetup scale="9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Crash_Hist_Macro">
                <anchor moveWithCells="1" sizeWithCells="1">
                  <from>
                    <xdr:col>4</xdr:col>
                    <xdr:colOff>0</xdr:colOff>
                    <xdr:row>5</xdr:row>
                    <xdr:rowOff>28575</xdr:rowOff>
                  </from>
                  <to>
                    <xdr:col>5</xdr:col>
                    <xdr:colOff>0</xdr:colOff>
                    <xdr:row>6</xdr:row>
                    <xdr:rowOff>0</xdr:rowOff>
                  </to>
                </anchor>
              </controlPr>
            </control>
          </mc:Choice>
        </mc:AlternateContent>
        <mc:AlternateContent xmlns:mc="http://schemas.openxmlformats.org/markup-compatibility/2006">
          <mc:Choice Requires="x14">
            <control shapeId="6146" r:id="rId5" name="Button 2">
              <controlPr defaultSize="0" print="0" autoFill="0" autoPict="0" macro="[0]!Crash_Hist_Macro">
                <anchor moveWithCells="1" sizeWithCells="1">
                  <from>
                    <xdr:col>4</xdr:col>
                    <xdr:colOff>0</xdr:colOff>
                    <xdr:row>5</xdr:row>
                    <xdr:rowOff>19050</xdr:rowOff>
                  </from>
                  <to>
                    <xdr:col>5</xdr:col>
                    <xdr:colOff>0</xdr:colOff>
                    <xdr:row>6</xdr:row>
                    <xdr:rowOff>0</xdr:rowOff>
                  </to>
                </anchor>
              </controlPr>
            </control>
          </mc:Choice>
        </mc:AlternateContent>
        <mc:AlternateContent xmlns:mc="http://schemas.openxmlformats.org/markup-compatibility/2006">
          <mc:Choice Requires="x14">
            <control shapeId="6149" r:id="rId6" name="Button 5">
              <controlPr defaultSize="0" print="0" autoFill="0" autoPict="0" macro="[0]!Crash_Hist_Reset_Macro">
                <anchor moveWithCells="1" sizeWithCells="1">
                  <from>
                    <xdr:col>5</xdr:col>
                    <xdr:colOff>19050</xdr:colOff>
                    <xdr:row>5</xdr:row>
                    <xdr:rowOff>19050</xdr:rowOff>
                  </from>
                  <to>
                    <xdr:col>5</xdr:col>
                    <xdr:colOff>600075</xdr:colOff>
                    <xdr:row>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59999389629810485"/>
  </sheetPr>
  <dimension ref="A1:EZ5"/>
  <sheetViews>
    <sheetView workbookViewId="0">
      <selection activeCell="M22" sqref="M22"/>
    </sheetView>
  </sheetViews>
  <sheetFormatPr defaultRowHeight="15" x14ac:dyDescent="0.25"/>
  <cols>
    <col min="38" max="38" width="24" bestFit="1" customWidth="1"/>
  </cols>
  <sheetData>
    <row r="1" spans="1:156" x14ac:dyDescent="0.3">
      <c r="A1" t="s">
        <v>299</v>
      </c>
      <c r="B1" t="s">
        <v>298</v>
      </c>
      <c r="C1" t="s">
        <v>297</v>
      </c>
      <c r="D1" t="s">
        <v>296</v>
      </c>
      <c r="E1" t="s">
        <v>295</v>
      </c>
      <c r="F1" t="s">
        <v>294</v>
      </c>
      <c r="G1" t="s">
        <v>293</v>
      </c>
      <c r="H1" t="s">
        <v>292</v>
      </c>
      <c r="I1" t="s">
        <v>291</v>
      </c>
      <c r="J1" t="s">
        <v>290</v>
      </c>
      <c r="K1" t="s">
        <v>289</v>
      </c>
      <c r="L1" t="s">
        <v>288</v>
      </c>
      <c r="M1" t="s">
        <v>287</v>
      </c>
      <c r="N1" t="s">
        <v>286</v>
      </c>
      <c r="O1" t="s">
        <v>285</v>
      </c>
      <c r="P1" t="s">
        <v>284</v>
      </c>
      <c r="Q1" t="s">
        <v>283</v>
      </c>
      <c r="R1" t="s">
        <v>282</v>
      </c>
      <c r="S1" t="s">
        <v>281</v>
      </c>
      <c r="T1" t="s">
        <v>280</v>
      </c>
      <c r="U1" t="s">
        <v>279</v>
      </c>
      <c r="V1" t="s">
        <v>278</v>
      </c>
      <c r="W1" t="s">
        <v>277</v>
      </c>
      <c r="X1" t="s">
        <v>276</v>
      </c>
      <c r="Y1" t="s">
        <v>275</v>
      </c>
      <c r="Z1" t="s">
        <v>274</v>
      </c>
      <c r="AA1" t="s">
        <v>273</v>
      </c>
      <c r="AB1" t="s">
        <v>272</v>
      </c>
      <c r="AC1" t="s">
        <v>271</v>
      </c>
      <c r="AD1" t="s">
        <v>270</v>
      </c>
      <c r="AE1" t="s">
        <v>269</v>
      </c>
      <c r="AF1" t="s">
        <v>268</v>
      </c>
      <c r="AG1" t="s">
        <v>267</v>
      </c>
      <c r="AH1" t="s">
        <v>266</v>
      </c>
      <c r="AI1" t="s">
        <v>265</v>
      </c>
      <c r="AJ1" t="s">
        <v>264</v>
      </c>
      <c r="AK1" t="s">
        <v>263</v>
      </c>
      <c r="AL1" t="s">
        <v>262</v>
      </c>
      <c r="AM1" t="s">
        <v>261</v>
      </c>
      <c r="AN1" t="s">
        <v>260</v>
      </c>
      <c r="AO1" t="s">
        <v>259</v>
      </c>
      <c r="AP1" t="s">
        <v>258</v>
      </c>
      <c r="AQ1" t="s">
        <v>257</v>
      </c>
      <c r="AR1" t="s">
        <v>256</v>
      </c>
      <c r="AS1" t="s">
        <v>255</v>
      </c>
      <c r="AT1" t="s">
        <v>254</v>
      </c>
      <c r="AU1" t="s">
        <v>253</v>
      </c>
      <c r="AV1" t="s">
        <v>252</v>
      </c>
      <c r="AW1" t="s">
        <v>251</v>
      </c>
      <c r="AX1" t="s">
        <v>250</v>
      </c>
      <c r="AY1" t="s">
        <v>249</v>
      </c>
      <c r="AZ1" t="s">
        <v>248</v>
      </c>
      <c r="BA1" t="s">
        <v>247</v>
      </c>
      <c r="BB1" t="s">
        <v>246</v>
      </c>
      <c r="BC1" t="s">
        <v>245</v>
      </c>
      <c r="BD1" t="s">
        <v>244</v>
      </c>
      <c r="BE1" t="s">
        <v>243</v>
      </c>
      <c r="BF1" t="s">
        <v>242</v>
      </c>
      <c r="BG1" t="s">
        <v>241</v>
      </c>
      <c r="BH1" t="s">
        <v>240</v>
      </c>
      <c r="BI1" t="s">
        <v>239</v>
      </c>
      <c r="BJ1" t="s">
        <v>238</v>
      </c>
      <c r="BK1" t="s">
        <v>237</v>
      </c>
      <c r="BL1" t="s">
        <v>236</v>
      </c>
      <c r="BM1" t="s">
        <v>235</v>
      </c>
      <c r="BN1" t="s">
        <v>234</v>
      </c>
      <c r="BO1" t="s">
        <v>233</v>
      </c>
      <c r="BP1" t="s">
        <v>232</v>
      </c>
      <c r="BQ1" t="s">
        <v>231</v>
      </c>
      <c r="BR1" t="s">
        <v>230</v>
      </c>
      <c r="BS1" t="s">
        <v>229</v>
      </c>
      <c r="BT1" t="s">
        <v>228</v>
      </c>
      <c r="BU1" t="s">
        <v>227</v>
      </c>
      <c r="BV1" t="s">
        <v>226</v>
      </c>
      <c r="BW1" t="s">
        <v>225</v>
      </c>
      <c r="BX1" t="s">
        <v>224</v>
      </c>
      <c r="BY1" t="s">
        <v>223</v>
      </c>
      <c r="BZ1" t="s">
        <v>222</v>
      </c>
      <c r="CA1" t="s">
        <v>221</v>
      </c>
      <c r="CB1" t="s">
        <v>220</v>
      </c>
      <c r="CC1" t="s">
        <v>219</v>
      </c>
      <c r="CD1" t="s">
        <v>218</v>
      </c>
      <c r="CE1" t="s">
        <v>217</v>
      </c>
      <c r="CF1" t="s">
        <v>216</v>
      </c>
      <c r="CG1" t="s">
        <v>215</v>
      </c>
      <c r="CH1" t="s">
        <v>214</v>
      </c>
      <c r="CI1" t="s">
        <v>213</v>
      </c>
      <c r="CJ1" t="s">
        <v>212</v>
      </c>
      <c r="CK1" t="s">
        <v>211</v>
      </c>
      <c r="CL1" t="s">
        <v>210</v>
      </c>
      <c r="CM1" t="s">
        <v>209</v>
      </c>
      <c r="CN1" t="s">
        <v>208</v>
      </c>
      <c r="CO1" t="s">
        <v>207</v>
      </c>
      <c r="CP1" t="s">
        <v>206</v>
      </c>
      <c r="CQ1" t="s">
        <v>205</v>
      </c>
      <c r="CR1" t="s">
        <v>204</v>
      </c>
      <c r="CS1" t="s">
        <v>203</v>
      </c>
      <c r="CT1" t="s">
        <v>202</v>
      </c>
      <c r="CU1" t="s">
        <v>201</v>
      </c>
      <c r="CV1" t="s">
        <v>200</v>
      </c>
      <c r="CW1" t="s">
        <v>199</v>
      </c>
      <c r="CX1" t="s">
        <v>198</v>
      </c>
      <c r="CY1" t="s">
        <v>197</v>
      </c>
      <c r="CZ1" t="s">
        <v>196</v>
      </c>
      <c r="DA1" t="s">
        <v>195</v>
      </c>
      <c r="DB1" t="s">
        <v>194</v>
      </c>
      <c r="DC1" t="s">
        <v>193</v>
      </c>
      <c r="DD1" t="s">
        <v>192</v>
      </c>
      <c r="DE1" t="s">
        <v>191</v>
      </c>
      <c r="DF1" t="s">
        <v>190</v>
      </c>
      <c r="DG1" t="s">
        <v>189</v>
      </c>
      <c r="DH1" t="s">
        <v>188</v>
      </c>
      <c r="DI1" t="s">
        <v>187</v>
      </c>
      <c r="DJ1" t="s">
        <v>186</v>
      </c>
      <c r="DK1" t="s">
        <v>185</v>
      </c>
      <c r="DL1" t="s">
        <v>184</v>
      </c>
      <c r="DM1" t="s">
        <v>183</v>
      </c>
      <c r="DN1" t="s">
        <v>182</v>
      </c>
      <c r="DO1" t="s">
        <v>181</v>
      </c>
      <c r="DP1" t="s">
        <v>180</v>
      </c>
      <c r="DQ1" t="s">
        <v>179</v>
      </c>
      <c r="DR1" t="s">
        <v>178</v>
      </c>
      <c r="DS1" t="s">
        <v>177</v>
      </c>
      <c r="DT1" t="s">
        <v>176</v>
      </c>
      <c r="DU1" t="s">
        <v>175</v>
      </c>
      <c r="DV1" t="s">
        <v>174</v>
      </c>
      <c r="DW1" t="s">
        <v>173</v>
      </c>
      <c r="DX1" t="s">
        <v>172</v>
      </c>
      <c r="DY1" t="s">
        <v>171</v>
      </c>
      <c r="DZ1" t="s">
        <v>170</v>
      </c>
      <c r="EA1" t="s">
        <v>169</v>
      </c>
      <c r="EB1" t="s">
        <v>168</v>
      </c>
      <c r="EC1" t="s">
        <v>167</v>
      </c>
      <c r="ED1" t="s">
        <v>166</v>
      </c>
      <c r="EE1" t="s">
        <v>165</v>
      </c>
      <c r="EF1" t="s">
        <v>164</v>
      </c>
      <c r="EG1" t="s">
        <v>163</v>
      </c>
      <c r="EH1" t="s">
        <v>162</v>
      </c>
      <c r="EI1" t="s">
        <v>161</v>
      </c>
      <c r="EJ1" t="s">
        <v>160</v>
      </c>
      <c r="EK1" t="s">
        <v>159</v>
      </c>
      <c r="EL1" t="s">
        <v>158</v>
      </c>
      <c r="EM1" t="s">
        <v>157</v>
      </c>
      <c r="EN1" t="s">
        <v>156</v>
      </c>
      <c r="EO1" t="s">
        <v>155</v>
      </c>
      <c r="EP1" t="s">
        <v>154</v>
      </c>
      <c r="EQ1" t="s">
        <v>153</v>
      </c>
      <c r="ER1" t="s">
        <v>152</v>
      </c>
      <c r="ES1" t="s">
        <v>151</v>
      </c>
      <c r="ET1" t="s">
        <v>150</v>
      </c>
      <c r="EU1" t="s">
        <v>149</v>
      </c>
      <c r="EV1" t="s">
        <v>148</v>
      </c>
      <c r="EW1" t="s">
        <v>147</v>
      </c>
      <c r="EX1" t="s">
        <v>146</v>
      </c>
      <c r="EY1" t="s">
        <v>145</v>
      </c>
      <c r="EZ1" t="s">
        <v>26</v>
      </c>
    </row>
    <row r="2" spans="1:156" x14ac:dyDescent="0.3">
      <c r="B2" t="s">
        <v>141</v>
      </c>
      <c r="C2" t="s">
        <v>141</v>
      </c>
      <c r="D2" t="s">
        <v>141</v>
      </c>
      <c r="E2" t="s">
        <v>141</v>
      </c>
      <c r="F2" t="s">
        <v>141</v>
      </c>
      <c r="G2" t="s">
        <v>141</v>
      </c>
      <c r="H2" t="s">
        <v>141</v>
      </c>
      <c r="I2" s="99"/>
      <c r="J2" s="98"/>
      <c r="N2" t="s">
        <v>142</v>
      </c>
      <c r="O2" t="s">
        <v>142</v>
      </c>
      <c r="R2">
        <v>15</v>
      </c>
      <c r="U2">
        <v>1</v>
      </c>
      <c r="Y2" t="s">
        <v>143</v>
      </c>
      <c r="Z2" t="s">
        <v>141</v>
      </c>
      <c r="AA2" t="s">
        <v>141</v>
      </c>
      <c r="AB2">
        <v>45</v>
      </c>
      <c r="AC2" t="s">
        <v>141</v>
      </c>
      <c r="AD2" t="s">
        <v>141</v>
      </c>
      <c r="AE2" t="s">
        <v>141</v>
      </c>
      <c r="AF2">
        <v>15</v>
      </c>
      <c r="AS2">
        <v>11</v>
      </c>
      <c r="AT2">
        <v>3</v>
      </c>
      <c r="AU2">
        <v>0</v>
      </c>
      <c r="AW2">
        <v>1</v>
      </c>
      <c r="AX2">
        <v>1</v>
      </c>
      <c r="AY2">
        <v>1</v>
      </c>
      <c r="BA2">
        <v>8</v>
      </c>
      <c r="BB2">
        <v>2</v>
      </c>
      <c r="BC2">
        <v>4</v>
      </c>
      <c r="BD2">
        <v>30</v>
      </c>
      <c r="BE2">
        <v>64</v>
      </c>
      <c r="BF2">
        <v>54</v>
      </c>
      <c r="BG2">
        <v>1</v>
      </c>
      <c r="BH2">
        <v>4</v>
      </c>
      <c r="BI2">
        <v>1</v>
      </c>
      <c r="BJ2">
        <v>21</v>
      </c>
      <c r="BK2">
        <v>21</v>
      </c>
      <c r="BL2">
        <v>101</v>
      </c>
      <c r="BM2">
        <v>1666</v>
      </c>
      <c r="CI2" t="s">
        <v>142</v>
      </c>
      <c r="CJ2" t="s">
        <v>141</v>
      </c>
      <c r="CK2" t="s">
        <v>142</v>
      </c>
      <c r="CL2">
        <v>1</v>
      </c>
      <c r="CM2">
        <v>0</v>
      </c>
      <c r="CN2" t="s">
        <v>142</v>
      </c>
      <c r="CO2" t="s">
        <v>144</v>
      </c>
      <c r="ES2">
        <v>1</v>
      </c>
      <c r="ET2">
        <v>0</v>
      </c>
      <c r="EU2">
        <v>0</v>
      </c>
      <c r="EV2">
        <v>3</v>
      </c>
      <c r="EW2">
        <v>0</v>
      </c>
      <c r="EX2">
        <v>1</v>
      </c>
      <c r="EY2">
        <v>0</v>
      </c>
      <c r="EZ2">
        <v>2013</v>
      </c>
    </row>
    <row r="3" spans="1:156" x14ac:dyDescent="0.3">
      <c r="B3" t="s">
        <v>141</v>
      </c>
      <c r="C3" t="s">
        <v>141</v>
      </c>
      <c r="D3" t="s">
        <v>141</v>
      </c>
      <c r="E3" t="s">
        <v>141</v>
      </c>
      <c r="F3" t="s">
        <v>141</v>
      </c>
      <c r="G3" t="s">
        <v>141</v>
      </c>
      <c r="H3" t="s">
        <v>141</v>
      </c>
      <c r="I3" s="99"/>
      <c r="J3" s="98"/>
      <c r="N3" t="s">
        <v>142</v>
      </c>
      <c r="O3" t="s">
        <v>142</v>
      </c>
      <c r="R3">
        <v>19</v>
      </c>
      <c r="U3">
        <v>1</v>
      </c>
      <c r="Y3" t="s">
        <v>143</v>
      </c>
      <c r="Z3" t="s">
        <v>141</v>
      </c>
      <c r="AA3" t="s">
        <v>141</v>
      </c>
      <c r="AB3">
        <v>45</v>
      </c>
      <c r="AC3" t="s">
        <v>141</v>
      </c>
      <c r="AD3" t="s">
        <v>141</v>
      </c>
      <c r="AE3" t="s">
        <v>141</v>
      </c>
      <c r="AF3">
        <v>19</v>
      </c>
      <c r="AS3">
        <v>11</v>
      </c>
      <c r="AT3">
        <v>1</v>
      </c>
      <c r="AU3">
        <v>0</v>
      </c>
      <c r="AW3">
        <v>1</v>
      </c>
      <c r="AX3">
        <v>1</v>
      </c>
      <c r="AY3">
        <v>1</v>
      </c>
      <c r="BA3">
        <v>8</v>
      </c>
      <c r="BB3">
        <v>2</v>
      </c>
      <c r="BC3">
        <v>4</v>
      </c>
      <c r="BD3">
        <v>34</v>
      </c>
      <c r="BE3">
        <v>64</v>
      </c>
      <c r="BF3">
        <v>54</v>
      </c>
      <c r="BG3">
        <v>1</v>
      </c>
      <c r="BH3">
        <v>4</v>
      </c>
      <c r="BI3">
        <v>1</v>
      </c>
      <c r="BJ3">
        <v>21</v>
      </c>
      <c r="BK3">
        <v>21</v>
      </c>
      <c r="BL3">
        <v>101</v>
      </c>
      <c r="BM3">
        <v>1666</v>
      </c>
      <c r="CI3" t="s">
        <v>142</v>
      </c>
      <c r="CJ3" t="s">
        <v>141</v>
      </c>
      <c r="CK3" t="s">
        <v>142</v>
      </c>
      <c r="CL3">
        <v>5</v>
      </c>
      <c r="CM3">
        <v>0</v>
      </c>
      <c r="CN3" t="s">
        <v>142</v>
      </c>
      <c r="CO3" t="s">
        <v>140</v>
      </c>
      <c r="ES3">
        <v>0</v>
      </c>
      <c r="ET3">
        <v>0</v>
      </c>
      <c r="EU3">
        <v>0</v>
      </c>
      <c r="EV3">
        <v>2</v>
      </c>
      <c r="EW3">
        <v>0</v>
      </c>
      <c r="EX3">
        <v>0</v>
      </c>
      <c r="EY3">
        <v>0</v>
      </c>
      <c r="EZ3">
        <v>2011</v>
      </c>
    </row>
    <row r="4" spans="1:156" x14ac:dyDescent="0.3">
      <c r="B4" t="s">
        <v>141</v>
      </c>
      <c r="C4" t="s">
        <v>141</v>
      </c>
      <c r="D4" t="s">
        <v>141</v>
      </c>
      <c r="E4" t="s">
        <v>141</v>
      </c>
      <c r="F4" t="s">
        <v>141</v>
      </c>
      <c r="G4" t="s">
        <v>141</v>
      </c>
      <c r="H4" t="s">
        <v>141</v>
      </c>
      <c r="I4" s="99"/>
      <c r="J4" s="98"/>
      <c r="N4" t="s">
        <v>142</v>
      </c>
      <c r="O4" t="s">
        <v>142</v>
      </c>
      <c r="R4">
        <v>19</v>
      </c>
      <c r="U4">
        <v>1</v>
      </c>
      <c r="Y4" t="s">
        <v>143</v>
      </c>
      <c r="Z4" t="s">
        <v>141</v>
      </c>
      <c r="AA4" t="s">
        <v>141</v>
      </c>
      <c r="AB4">
        <v>45</v>
      </c>
      <c r="AC4" t="s">
        <v>141</v>
      </c>
      <c r="AD4" t="s">
        <v>141</v>
      </c>
      <c r="AE4" t="s">
        <v>142</v>
      </c>
      <c r="AF4">
        <v>19</v>
      </c>
      <c r="AI4">
        <v>1</v>
      </c>
      <c r="AJ4">
        <v>8400</v>
      </c>
      <c r="AS4">
        <v>11</v>
      </c>
      <c r="AT4">
        <v>1</v>
      </c>
      <c r="AU4">
        <v>2</v>
      </c>
      <c r="AW4">
        <v>1</v>
      </c>
      <c r="AX4">
        <v>1</v>
      </c>
      <c r="AY4">
        <v>11</v>
      </c>
      <c r="BA4">
        <v>8</v>
      </c>
      <c r="BB4">
        <v>2</v>
      </c>
      <c r="BC4">
        <v>2</v>
      </c>
      <c r="BD4">
        <v>30</v>
      </c>
      <c r="BE4">
        <v>64</v>
      </c>
      <c r="BF4">
        <v>54</v>
      </c>
      <c r="BG4">
        <v>1</v>
      </c>
      <c r="BH4">
        <v>4</v>
      </c>
      <c r="BI4">
        <v>1</v>
      </c>
      <c r="BJ4">
        <v>21</v>
      </c>
      <c r="BK4">
        <v>21</v>
      </c>
      <c r="BL4">
        <v>101</v>
      </c>
      <c r="BM4">
        <v>1666</v>
      </c>
      <c r="CI4" t="s">
        <v>142</v>
      </c>
      <c r="CJ4" t="s">
        <v>141</v>
      </c>
      <c r="CK4" t="s">
        <v>142</v>
      </c>
      <c r="CL4">
        <v>2</v>
      </c>
      <c r="CM4">
        <v>0</v>
      </c>
      <c r="CN4" t="s">
        <v>141</v>
      </c>
      <c r="CO4" t="s">
        <v>144</v>
      </c>
      <c r="ES4">
        <v>0</v>
      </c>
      <c r="ET4">
        <v>3</v>
      </c>
      <c r="EU4">
        <v>0</v>
      </c>
      <c r="EV4">
        <v>0</v>
      </c>
      <c r="EW4">
        <v>0</v>
      </c>
      <c r="EX4">
        <v>3</v>
      </c>
      <c r="EY4">
        <v>0</v>
      </c>
      <c r="EZ4">
        <v>2012</v>
      </c>
    </row>
    <row r="5" spans="1:156" x14ac:dyDescent="0.3">
      <c r="B5" t="s">
        <v>141</v>
      </c>
      <c r="C5" t="s">
        <v>141</v>
      </c>
      <c r="D5" t="s">
        <v>141</v>
      </c>
      <c r="E5" t="s">
        <v>141</v>
      </c>
      <c r="F5" t="s">
        <v>141</v>
      </c>
      <c r="G5" t="s">
        <v>141</v>
      </c>
      <c r="H5" t="s">
        <v>141</v>
      </c>
      <c r="I5" s="99"/>
      <c r="J5" s="98"/>
      <c r="N5" t="s">
        <v>142</v>
      </c>
      <c r="O5" t="s">
        <v>142</v>
      </c>
      <c r="R5">
        <v>19</v>
      </c>
      <c r="U5">
        <v>1</v>
      </c>
      <c r="Y5" t="s">
        <v>143</v>
      </c>
      <c r="Z5" t="s">
        <v>141</v>
      </c>
      <c r="AA5" t="s">
        <v>141</v>
      </c>
      <c r="AB5">
        <v>45</v>
      </c>
      <c r="AC5" t="s">
        <v>141</v>
      </c>
      <c r="AD5" t="s">
        <v>141</v>
      </c>
      <c r="AE5" t="s">
        <v>142</v>
      </c>
      <c r="AF5">
        <v>19</v>
      </c>
      <c r="AI5">
        <v>1</v>
      </c>
      <c r="AJ5">
        <v>8400</v>
      </c>
      <c r="AS5">
        <v>12</v>
      </c>
      <c r="AT5">
        <v>1</v>
      </c>
      <c r="AU5">
        <v>2</v>
      </c>
      <c r="AW5">
        <v>1</v>
      </c>
      <c r="AX5">
        <v>2</v>
      </c>
      <c r="AY5">
        <v>11</v>
      </c>
      <c r="BA5">
        <v>8</v>
      </c>
      <c r="BB5">
        <v>2</v>
      </c>
      <c r="BC5">
        <v>2</v>
      </c>
      <c r="BD5">
        <v>22</v>
      </c>
      <c r="BE5">
        <v>64</v>
      </c>
      <c r="BF5">
        <v>47</v>
      </c>
      <c r="BG5">
        <v>1</v>
      </c>
      <c r="BH5">
        <v>4</v>
      </c>
      <c r="BI5">
        <v>1</v>
      </c>
      <c r="BJ5">
        <v>21</v>
      </c>
      <c r="BK5">
        <v>21</v>
      </c>
      <c r="BL5">
        <v>101</v>
      </c>
      <c r="BM5">
        <v>1666</v>
      </c>
      <c r="CI5" t="s">
        <v>142</v>
      </c>
      <c r="CJ5" t="s">
        <v>141</v>
      </c>
      <c r="CK5" t="s">
        <v>142</v>
      </c>
      <c r="CL5">
        <v>5</v>
      </c>
      <c r="CM5">
        <v>0</v>
      </c>
      <c r="CN5" t="s">
        <v>141</v>
      </c>
      <c r="CO5" t="s">
        <v>140</v>
      </c>
      <c r="ES5">
        <v>0</v>
      </c>
      <c r="ET5">
        <v>0</v>
      </c>
      <c r="EU5">
        <v>0</v>
      </c>
      <c r="EV5">
        <v>5</v>
      </c>
      <c r="EW5">
        <v>0</v>
      </c>
      <c r="EX5">
        <v>0</v>
      </c>
      <c r="EY5">
        <v>0</v>
      </c>
      <c r="EZ5">
        <v>2013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S36"/>
  <sheetViews>
    <sheetView topLeftCell="C1" zoomScale="85" zoomScaleNormal="85" workbookViewId="0">
      <selection activeCell="D29" sqref="D29"/>
    </sheetView>
  </sheetViews>
  <sheetFormatPr defaultRowHeight="15" x14ac:dyDescent="0.25"/>
  <cols>
    <col min="1" max="1" width="35" customWidth="1"/>
    <col min="2" max="2" width="12.5703125" customWidth="1"/>
    <col min="3" max="3" width="5.28515625" customWidth="1"/>
    <col min="4" max="4" width="25.5703125" customWidth="1"/>
    <col min="5" max="5" width="15.42578125" bestFit="1" customWidth="1"/>
    <col min="6" max="11" width="15.42578125" customWidth="1"/>
    <col min="12" max="12" width="4.5703125" customWidth="1"/>
    <col min="13" max="13" width="9.28515625" bestFit="1" customWidth="1"/>
    <col min="14" max="14" width="16.7109375" style="3" customWidth="1"/>
    <col min="15" max="15" width="16.85546875" style="81" bestFit="1" customWidth="1"/>
    <col min="16" max="16" width="11.42578125" style="84" bestFit="1" customWidth="1"/>
    <col min="17" max="17" width="34.42578125" bestFit="1" customWidth="1"/>
    <col min="18" max="18" width="18.7109375" customWidth="1"/>
    <col min="19" max="19" width="38.42578125" bestFit="1" customWidth="1"/>
  </cols>
  <sheetData>
    <row r="3" spans="1:19" ht="14.45" x14ac:dyDescent="0.3">
      <c r="A3" s="22" t="s">
        <v>14</v>
      </c>
      <c r="D3" s="22" t="s">
        <v>28</v>
      </c>
      <c r="E3" s="32"/>
      <c r="M3" s="21" t="s">
        <v>26</v>
      </c>
      <c r="N3" s="77" t="s">
        <v>126</v>
      </c>
      <c r="O3" s="79" t="s">
        <v>27</v>
      </c>
      <c r="P3" s="82" t="s">
        <v>129</v>
      </c>
      <c r="Q3" s="21" t="s">
        <v>317</v>
      </c>
      <c r="R3" s="21" t="s">
        <v>125</v>
      </c>
      <c r="S3" s="21" t="s">
        <v>88</v>
      </c>
    </row>
    <row r="4" spans="1:19" ht="14.45" x14ac:dyDescent="0.3">
      <c r="A4" s="23" t="s">
        <v>15</v>
      </c>
      <c r="B4" s="34">
        <v>2015</v>
      </c>
      <c r="D4" s="26" t="s">
        <v>116</v>
      </c>
      <c r="E4" s="64">
        <f>(_2025_Volume/_2018_Volume)^(1/(2025-2018))-1</f>
        <v>1.9931800330914795E-2</v>
      </c>
      <c r="M4" s="86">
        <v>2018</v>
      </c>
      <c r="N4" s="87" t="s">
        <v>131</v>
      </c>
      <c r="O4" s="88">
        <f>MIN(E7,1)</f>
        <v>0.84375</v>
      </c>
      <c r="P4" s="89">
        <f>-(ROUNDUP(O4,0)-2)</f>
        <v>1</v>
      </c>
      <c r="Q4" s="109">
        <f>SUMPRODUCT(Possible_Crash_Reductions,Value_of_Statistical_Life_2015)</f>
        <v>882567.46945557196</v>
      </c>
      <c r="R4" s="94">
        <f t="shared" ref="R4:R36" si="0">IF(AND(M4&gt;=Year_Open_to_Traffic?,M4&lt;Year_Open_to_Traffic?+Years_to_include_in_BCA_Analysis),1,0)</f>
        <v>0</v>
      </c>
      <c r="S4" s="85">
        <f>(Q4*R4)/10^3</f>
        <v>0</v>
      </c>
    </row>
    <row r="5" spans="1:19" ht="14.45" x14ac:dyDescent="0.3">
      <c r="A5" s="23" t="s">
        <v>89</v>
      </c>
      <c r="B5" s="23">
        <f>MIN(20,Service_Life)</f>
        <v>20</v>
      </c>
      <c r="D5" s="26" t="s">
        <v>117</v>
      </c>
      <c r="E5" s="64">
        <f>(_2040_Volume/_2025_Volume)^(1/(2040-2025))-1</f>
        <v>1.1865220370679053E-2</v>
      </c>
      <c r="M5" s="20">
        <f t="shared" ref="M5:M36" si="1">M4+1</f>
        <v>2019</v>
      </c>
      <c r="N5" s="78">
        <f t="shared" ref="N5:N11" si="2">IF(ISERROR(_2025_2040_Demand_Growth),_2018_2040_Demand_Growth,_2018_2025_Demand_Growth)</f>
        <v>1.9931800330914795E-2</v>
      </c>
      <c r="O5" s="80">
        <f t="shared" ref="O5:O11" si="3">O4*(1+IFERROR(_2018_2025_V_C_Growth,_2018_2040_V_C_Growth))</f>
        <v>0.86056745652920941</v>
      </c>
      <c r="P5" s="83">
        <f t="shared" ref="P5:P36" si="4">-(ROUNDUP(O5,0)-2)</f>
        <v>1</v>
      </c>
      <c r="Q5" s="109">
        <f>Q4*(1+N5*P5)</f>
        <v>900158.62803532113</v>
      </c>
      <c r="R5" s="94">
        <f t="shared" si="0"/>
        <v>0</v>
      </c>
      <c r="S5" s="85">
        <f t="shared" ref="S5:S36" si="5">(Q5*R5)/10^3</f>
        <v>0</v>
      </c>
    </row>
    <row r="6" spans="1:19" ht="14.45" x14ac:dyDescent="0.3">
      <c r="D6" s="26" t="s">
        <v>121</v>
      </c>
      <c r="E6" s="64">
        <f>(_2040_Volume/_2018_Volume)^(1/(2040-2018))-1</f>
        <v>1.4424915040702757E-2</v>
      </c>
      <c r="M6" s="86">
        <f t="shared" si="1"/>
        <v>2020</v>
      </c>
      <c r="N6" s="78">
        <f t="shared" si="2"/>
        <v>1.9931800330914795E-2</v>
      </c>
      <c r="O6" s="80">
        <f t="shared" si="3"/>
        <v>0.87772011524403282</v>
      </c>
      <c r="P6" s="83">
        <f t="shared" si="4"/>
        <v>1</v>
      </c>
      <c r="Q6" s="109">
        <f t="shared" ref="Q6:Q29" si="6">Q5*(1+N6*P6)</f>
        <v>918100.41007547139</v>
      </c>
      <c r="R6" s="94">
        <f t="shared" si="0"/>
        <v>1</v>
      </c>
      <c r="S6" s="85">
        <f t="shared" si="5"/>
        <v>918.10041007547136</v>
      </c>
    </row>
    <row r="7" spans="1:19" ht="14.45" x14ac:dyDescent="0.3">
      <c r="D7" s="26" t="s">
        <v>115</v>
      </c>
      <c r="E7" s="28">
        <f>_2018_Volume/_2018_Capacity</f>
        <v>0.84375</v>
      </c>
      <c r="M7" s="20">
        <f t="shared" si="1"/>
        <v>2021</v>
      </c>
      <c r="N7" s="78">
        <f t="shared" si="2"/>
        <v>1.9931800330914795E-2</v>
      </c>
      <c r="O7" s="80">
        <f t="shared" si="3"/>
        <v>0.89521465732750438</v>
      </c>
      <c r="P7" s="83">
        <f t="shared" si="4"/>
        <v>1</v>
      </c>
      <c r="Q7" s="109">
        <f t="shared" si="6"/>
        <v>936399.80413282663</v>
      </c>
      <c r="R7" s="94">
        <f t="shared" si="0"/>
        <v>1</v>
      </c>
      <c r="S7" s="85">
        <f t="shared" si="5"/>
        <v>936.3998041328266</v>
      </c>
    </row>
    <row r="8" spans="1:19" ht="14.45" x14ac:dyDescent="0.3">
      <c r="D8" s="26" t="s">
        <v>114</v>
      </c>
      <c r="E8" s="28">
        <f>_2025_Volume/_2025_Capacity</f>
        <v>0.96875</v>
      </c>
      <c r="M8" s="86">
        <f t="shared" si="1"/>
        <v>2022</v>
      </c>
      <c r="N8" s="78">
        <f t="shared" si="2"/>
        <v>1.9931800330914795E-2</v>
      </c>
      <c r="O8" s="80">
        <f t="shared" si="3"/>
        <v>0.91305789713066454</v>
      </c>
      <c r="P8" s="83">
        <f t="shared" si="4"/>
        <v>1</v>
      </c>
      <c r="Q8" s="109">
        <f t="shared" si="6"/>
        <v>955063.93805870984</v>
      </c>
      <c r="R8" s="94">
        <f t="shared" si="0"/>
        <v>1</v>
      </c>
      <c r="S8" s="85">
        <f t="shared" si="5"/>
        <v>955.06393805870982</v>
      </c>
    </row>
    <row r="9" spans="1:19" ht="14.45" x14ac:dyDescent="0.3">
      <c r="D9" s="26" t="s">
        <v>90</v>
      </c>
      <c r="E9" s="28">
        <f>_2040_Volume/_2040_Capacity</f>
        <v>1.15625</v>
      </c>
      <c r="M9" s="20">
        <f t="shared" si="1"/>
        <v>2023</v>
      </c>
      <c r="N9" s="78">
        <f t="shared" si="2"/>
        <v>1.9931800330914795E-2</v>
      </c>
      <c r="O9" s="80">
        <f t="shared" si="3"/>
        <v>0.93125678482683794</v>
      </c>
      <c r="P9" s="83">
        <f t="shared" si="4"/>
        <v>1</v>
      </c>
      <c r="Q9" s="109">
        <f t="shared" si="6"/>
        <v>974100.08177535317</v>
      </c>
      <c r="R9" s="94">
        <f t="shared" si="0"/>
        <v>1</v>
      </c>
      <c r="S9" s="85">
        <f t="shared" si="5"/>
        <v>974.10008177535315</v>
      </c>
    </row>
    <row r="10" spans="1:19" ht="14.45" x14ac:dyDescent="0.3">
      <c r="D10" s="26" t="s">
        <v>122</v>
      </c>
      <c r="E10" s="64">
        <f>(E8/E7)^(1/(2025-2018))-1</f>
        <v>1.9931800330914795E-2</v>
      </c>
      <c r="M10" s="86">
        <f t="shared" si="1"/>
        <v>2024</v>
      </c>
      <c r="N10" s="78">
        <f t="shared" si="2"/>
        <v>1.9931800330914795E-2</v>
      </c>
      <c r="O10" s="80">
        <f t="shared" si="3"/>
        <v>0.9498184091188161</v>
      </c>
      <c r="P10" s="83">
        <f t="shared" si="4"/>
        <v>1</v>
      </c>
      <c r="Q10" s="109">
        <f t="shared" si="6"/>
        <v>993515.65010762727</v>
      </c>
      <c r="R10" s="94">
        <f t="shared" si="0"/>
        <v>1</v>
      </c>
      <c r="S10" s="85">
        <f t="shared" si="5"/>
        <v>993.51565010762727</v>
      </c>
    </row>
    <row r="11" spans="1:19" ht="14.45" x14ac:dyDescent="0.3">
      <c r="D11" s="26" t="s">
        <v>123</v>
      </c>
      <c r="E11" s="64">
        <f>(E9/E8)^(1/(2040-2025))-1</f>
        <v>1.1865220370679053E-2</v>
      </c>
      <c r="M11" s="20">
        <f t="shared" si="1"/>
        <v>2025</v>
      </c>
      <c r="N11" s="78">
        <f t="shared" si="2"/>
        <v>1.9931800330914795E-2</v>
      </c>
      <c r="O11" s="80">
        <f t="shared" si="3"/>
        <v>0.96874999999999944</v>
      </c>
      <c r="P11" s="83">
        <f t="shared" si="4"/>
        <v>1</v>
      </c>
      <c r="Q11" s="109">
        <f t="shared" si="6"/>
        <v>1013318.2056712115</v>
      </c>
      <c r="R11" s="94">
        <f t="shared" si="0"/>
        <v>1</v>
      </c>
      <c r="S11" s="85">
        <f t="shared" si="5"/>
        <v>1013.3182056712114</v>
      </c>
    </row>
    <row r="12" spans="1:19" ht="14.45" x14ac:dyDescent="0.3">
      <c r="D12" s="26" t="s">
        <v>124</v>
      </c>
      <c r="E12" s="64">
        <f>(E9/E7)^(1/(2040-2018))-1</f>
        <v>1.4424915040702757E-2</v>
      </c>
      <c r="M12" s="86">
        <f t="shared" si="1"/>
        <v>2026</v>
      </c>
      <c r="N12" s="78">
        <f t="shared" ref="N12:N36" si="7">IFERROR(_2025_2040_Demand_Growth,_2018_2040_Demand_Growth)</f>
        <v>1.1865220370679053E-2</v>
      </c>
      <c r="O12" s="80">
        <f t="shared" ref="O12:O36" si="8">O11*(1+IFERROR(_2025_2040_V_C_Growth,_2018_2040_V_C_Growth))</f>
        <v>0.98024443223409474</v>
      </c>
      <c r="P12" s="83">
        <f t="shared" si="4"/>
        <v>1</v>
      </c>
      <c r="Q12" s="109">
        <f t="shared" si="6"/>
        <v>1025341.4494871214</v>
      </c>
      <c r="R12" s="94">
        <f t="shared" si="0"/>
        <v>1</v>
      </c>
      <c r="S12" s="85">
        <f t="shared" si="5"/>
        <v>1025.3414494871215</v>
      </c>
    </row>
    <row r="13" spans="1:19" ht="14.45" x14ac:dyDescent="0.3">
      <c r="M13" s="20">
        <f t="shared" si="1"/>
        <v>2027</v>
      </c>
      <c r="N13" s="78">
        <f t="shared" si="7"/>
        <v>1.1865220370679053E-2</v>
      </c>
      <c r="O13" s="80">
        <f t="shared" si="8"/>
        <v>0.99187524843968344</v>
      </c>
      <c r="P13" s="83">
        <f t="shared" si="4"/>
        <v>1</v>
      </c>
      <c r="Q13" s="109">
        <f t="shared" si="6"/>
        <v>1037507.3517404776</v>
      </c>
      <c r="R13" s="94">
        <f t="shared" si="0"/>
        <v>1</v>
      </c>
      <c r="S13" s="85">
        <f t="shared" si="5"/>
        <v>1037.5073517404776</v>
      </c>
    </row>
    <row r="14" spans="1:19" ht="14.45" x14ac:dyDescent="0.3">
      <c r="M14" s="86">
        <f>M13+1</f>
        <v>2028</v>
      </c>
      <c r="N14" s="78">
        <f t="shared" si="7"/>
        <v>1.1865220370679053E-2</v>
      </c>
      <c r="O14" s="80">
        <f>O13*(1+IFERROR(_2025_2040_V_C_Growth,_2018_2040_V_C_Growth))</f>
        <v>1.0036440668426423</v>
      </c>
      <c r="P14" s="83">
        <f t="shared" si="4"/>
        <v>0</v>
      </c>
      <c r="Q14" s="109">
        <f>Q13*(1+N14*P14)</f>
        <v>1037507.3517404776</v>
      </c>
      <c r="R14" s="94">
        <f t="shared" si="0"/>
        <v>1</v>
      </c>
      <c r="S14" s="85">
        <f t="shared" si="5"/>
        <v>1037.5073517404776</v>
      </c>
    </row>
    <row r="15" spans="1:19" x14ac:dyDescent="0.25">
      <c r="A15" s="120" t="s">
        <v>315</v>
      </c>
      <c r="B15" s="120"/>
      <c r="D15" s="72" t="s">
        <v>145</v>
      </c>
      <c r="E15" s="72" t="s">
        <v>151</v>
      </c>
      <c r="F15" s="72" t="s">
        <v>150</v>
      </c>
      <c r="G15" s="72" t="s">
        <v>149</v>
      </c>
      <c r="H15" s="72" t="s">
        <v>148</v>
      </c>
      <c r="I15" s="72" t="s">
        <v>147</v>
      </c>
      <c r="J15" s="121" t="s">
        <v>316</v>
      </c>
      <c r="M15" s="20">
        <f>M14+1</f>
        <v>2029</v>
      </c>
      <c r="N15" s="78">
        <f t="shared" si="7"/>
        <v>1.1865220370679053E-2</v>
      </c>
      <c r="O15" s="80">
        <f>O14*(1+IFERROR(_2025_2040_V_C_Growth,_2018_2040_V_C_Growth))</f>
        <v>1.0155525248694548</v>
      </c>
      <c r="P15" s="83">
        <f t="shared" si="4"/>
        <v>0</v>
      </c>
      <c r="Q15" s="109">
        <f>Q14*(1+N15*P15)</f>
        <v>1037507.3517404776</v>
      </c>
      <c r="R15" s="94">
        <f t="shared" si="0"/>
        <v>1</v>
      </c>
      <c r="S15" s="85">
        <f t="shared" si="5"/>
        <v>1037.5073517404776</v>
      </c>
    </row>
    <row r="16" spans="1:19" x14ac:dyDescent="0.25">
      <c r="A16" s="120"/>
      <c r="B16" s="120"/>
      <c r="D16" s="106">
        <f>Avg_Death_Cnt</f>
        <v>0</v>
      </c>
      <c r="E16" s="106">
        <f>Avg_Incap_Injry_Cnt</f>
        <v>2</v>
      </c>
      <c r="F16" s="106">
        <f>Avg_Nonincap_Injry_Cnt</f>
        <v>8.3333333333333339</v>
      </c>
      <c r="G16" s="106">
        <f>Avg_Poss_Injry_Cnt</f>
        <v>15.333333333333334</v>
      </c>
      <c r="H16" s="106">
        <f>Avg_Non_Injry_Cnt</f>
        <v>102.33333333333333</v>
      </c>
      <c r="I16" s="106">
        <f>Avg_Unkn_Injry_Cnt</f>
        <v>2</v>
      </c>
      <c r="J16" s="121"/>
      <c r="M16" s="86">
        <f t="shared" si="1"/>
        <v>2030</v>
      </c>
      <c r="N16" s="78">
        <f t="shared" si="7"/>
        <v>1.1865220370679053E-2</v>
      </c>
      <c r="O16" s="80">
        <f t="shared" si="8"/>
        <v>1.0276022793750303</v>
      </c>
      <c r="P16" s="83">
        <f t="shared" si="4"/>
        <v>0</v>
      </c>
      <c r="Q16" s="109">
        <f t="shared" si="6"/>
        <v>1037507.3517404776</v>
      </c>
      <c r="R16" s="94">
        <f t="shared" si="0"/>
        <v>1</v>
      </c>
      <c r="S16" s="85">
        <f t="shared" si="5"/>
        <v>1037.5073517404776</v>
      </c>
    </row>
    <row r="17" spans="1:19" ht="14.45" x14ac:dyDescent="0.3">
      <c r="A17" s="72" t="s">
        <v>311</v>
      </c>
      <c r="B17" s="103" t="s">
        <v>312</v>
      </c>
      <c r="D17" s="107">
        <f>D$16*'Value of Statistical Life'!D17*Appropriate_Crash_Reduction_Factor</f>
        <v>0</v>
      </c>
      <c r="E17" s="107">
        <f>E$16*'Value of Statistical Life'!E17*Appropriate_Crash_Reduction_Factor</f>
        <v>1.7184999999999999E-2</v>
      </c>
      <c r="F17" s="107">
        <f>F$16*'Value of Statistical Life'!F17*Appropriate_Crash_Reduction_Factor</f>
        <v>0.17389583333333336</v>
      </c>
      <c r="G17" s="107">
        <f>G$16*'Value of Statistical Life'!G17*Appropriate_Crash_Reduction_Factor</f>
        <v>0.89841833333333332</v>
      </c>
      <c r="H17" s="107">
        <f>H$16*'Value of Statistical Life'!H17*Appropriate_Crash_Reduction_Factor</f>
        <v>23.673281666666668</v>
      </c>
      <c r="I17" s="107">
        <f>I$16*'Value of Statistical Life'!I17*Appropriate_Crash_Reduction_Factor</f>
        <v>0.21837999999999999</v>
      </c>
      <c r="J17" s="107">
        <f>SUM(D17:I17)</f>
        <v>24.981160833333334</v>
      </c>
      <c r="M17" s="20">
        <f t="shared" si="1"/>
        <v>2031</v>
      </c>
      <c r="N17" s="78">
        <f t="shared" si="7"/>
        <v>1.1865220370679053E-2</v>
      </c>
      <c r="O17" s="80">
        <f t="shared" si="8"/>
        <v>1.0397950068732271</v>
      </c>
      <c r="P17" s="83">
        <f t="shared" si="4"/>
        <v>0</v>
      </c>
      <c r="Q17" s="109">
        <f t="shared" si="6"/>
        <v>1037507.3517404776</v>
      </c>
      <c r="R17" s="94">
        <f t="shared" si="0"/>
        <v>1</v>
      </c>
      <c r="S17" s="85">
        <f t="shared" si="5"/>
        <v>1037.5073517404776</v>
      </c>
    </row>
    <row r="18" spans="1:19" ht="14.45" x14ac:dyDescent="0.3">
      <c r="A18" s="72" t="s">
        <v>98</v>
      </c>
      <c r="B18" s="73" t="s">
        <v>99</v>
      </c>
      <c r="D18" s="107">
        <f>D$16*'Value of Statistical Life'!D18*Appropriate_Crash_Reduction_Factor</f>
        <v>0</v>
      </c>
      <c r="E18" s="107">
        <f>E$16*'Value of Statistical Life'!E18*Appropriate_Crash_Reduction_Factor</f>
        <v>0.27724500000000002</v>
      </c>
      <c r="F18" s="107">
        <f>F$16*'Value of Statistical Life'!F18*Appropriate_Crash_Reduction_Factor</f>
        <v>1.6008958333333334</v>
      </c>
      <c r="G18" s="107">
        <f>G$16*'Value of Statistical Life'!G18*Appropriate_Crash_Reduction_Factor</f>
        <v>2.6429299999999998</v>
      </c>
      <c r="H18" s="107">
        <f>H$16*'Value of Statistical Life'!H18*Appropriate_Crash_Reduction_Factor</f>
        <v>1.8565824999999998</v>
      </c>
      <c r="I18" s="107">
        <f>I$16*'Value of Statistical Life'!I18*Appropriate_Crash_Reduction_Factor</f>
        <v>0.20869499999999999</v>
      </c>
      <c r="J18" s="107">
        <f t="shared" ref="J18:J23" si="9">SUM(D18:I18)</f>
        <v>6.5863483333333326</v>
      </c>
      <c r="M18" s="86">
        <f t="shared" si="1"/>
        <v>2032</v>
      </c>
      <c r="N18" s="78">
        <f t="shared" si="7"/>
        <v>1.1865220370679053E-2</v>
      </c>
      <c r="O18" s="80">
        <f t="shared" si="8"/>
        <v>1.0521324037701096</v>
      </c>
      <c r="P18" s="83">
        <f t="shared" si="4"/>
        <v>0</v>
      </c>
      <c r="Q18" s="109">
        <f t="shared" si="6"/>
        <v>1037507.3517404776</v>
      </c>
      <c r="R18" s="94">
        <f t="shared" si="0"/>
        <v>1</v>
      </c>
      <c r="S18" s="85">
        <f t="shared" si="5"/>
        <v>1037.5073517404776</v>
      </c>
    </row>
    <row r="19" spans="1:19" ht="14.45" x14ac:dyDescent="0.3">
      <c r="A19" s="72" t="s">
        <v>100</v>
      </c>
      <c r="B19" s="73" t="s">
        <v>101</v>
      </c>
      <c r="D19" s="107">
        <f>D$16*'Value of Statistical Life'!D19*Appropriate_Crash_Reduction_Factor</f>
        <v>0</v>
      </c>
      <c r="E19" s="107">
        <f>E$16*'Value of Statistical Life'!E19*Appropriate_Crash_Reduction_Factor</f>
        <v>0.10453999999999999</v>
      </c>
      <c r="F19" s="107">
        <f>F$16*'Value of Statistical Life'!F19*Appropriate_Crash_Reduction_Factor</f>
        <v>0.22704166666666667</v>
      </c>
      <c r="G19" s="107">
        <f>G$16*'Value of Statistical Life'!G19*Appropriate_Crash_Reduction_Factor</f>
        <v>0.24498833333333334</v>
      </c>
      <c r="H19" s="107">
        <f>H$16*'Value of Statistical Life'!H19*Appropriate_Crash_Reduction_Factor</f>
        <v>5.0654999999999999E-2</v>
      </c>
      <c r="I19" s="107">
        <f>I$16*'Value of Statistical Life'!I19*Appropriate_Crash_Reduction_Factor</f>
        <v>4.4359999999999997E-2</v>
      </c>
      <c r="J19" s="107">
        <f t="shared" si="9"/>
        <v>0.67158499999999999</v>
      </c>
      <c r="M19" s="20">
        <f t="shared" si="1"/>
        <v>2033</v>
      </c>
      <c r="N19" s="78">
        <f t="shared" si="7"/>
        <v>1.1865220370679053E-2</v>
      </c>
      <c r="O19" s="80">
        <f t="shared" si="8"/>
        <v>1.0646161865999744</v>
      </c>
      <c r="P19" s="83">
        <f t="shared" si="4"/>
        <v>0</v>
      </c>
      <c r="Q19" s="109">
        <f t="shared" si="6"/>
        <v>1037507.3517404776</v>
      </c>
      <c r="R19" s="94">
        <f t="shared" si="0"/>
        <v>1</v>
      </c>
      <c r="S19" s="85">
        <f t="shared" si="5"/>
        <v>1037.5073517404776</v>
      </c>
    </row>
    <row r="20" spans="1:19" ht="14.45" x14ac:dyDescent="0.3">
      <c r="A20" s="72" t="s">
        <v>102</v>
      </c>
      <c r="B20" s="73" t="s">
        <v>103</v>
      </c>
      <c r="D20" s="107">
        <f>D$16*'Value of Statistical Life'!D20*Appropriate_Crash_Reduction_Factor</f>
        <v>0</v>
      </c>
      <c r="E20" s="107">
        <f>E$16*'Value of Statistical Life'!E20*Appropriate_Crash_Reduction_Factor</f>
        <v>7.2184999999999999E-2</v>
      </c>
      <c r="F20" s="107">
        <f>F$16*'Value of Statistical Life'!F20*Appropriate_Crash_Reduction_Factor</f>
        <v>6.6479166666666673E-2</v>
      </c>
      <c r="G20" s="107">
        <f>G$16*'Value of Statistical Life'!G20*Appropriate_Crash_Reduction_Factor</f>
        <v>4.1055000000000001E-2</v>
      </c>
      <c r="H20" s="107">
        <f>H$16*'Value of Statistical Life'!H20*Appropriate_Crash_Reduction_Factor</f>
        <v>2.0466666666666667E-3</v>
      </c>
      <c r="I20" s="107">
        <f>I$16*'Value of Statistical Life'!I20*Appropriate_Crash_Reduction_Factor</f>
        <v>2.4084999999999999E-2</v>
      </c>
      <c r="J20" s="107">
        <f t="shared" si="9"/>
        <v>0.20585083333333334</v>
      </c>
      <c r="M20" s="86">
        <f t="shared" si="1"/>
        <v>2034</v>
      </c>
      <c r="N20" s="78">
        <f t="shared" si="7"/>
        <v>1.1865220370679053E-2</v>
      </c>
      <c r="O20" s="80">
        <f t="shared" si="8"/>
        <v>1.077248092264175</v>
      </c>
      <c r="P20" s="83">
        <f t="shared" si="4"/>
        <v>0</v>
      </c>
      <c r="Q20" s="109">
        <f t="shared" si="6"/>
        <v>1037507.3517404776</v>
      </c>
      <c r="R20" s="94">
        <f t="shared" si="0"/>
        <v>1</v>
      </c>
      <c r="S20" s="85">
        <f t="shared" si="5"/>
        <v>1037.5073517404776</v>
      </c>
    </row>
    <row r="21" spans="1:19" ht="14.45" x14ac:dyDescent="0.3">
      <c r="A21" s="72" t="s">
        <v>104</v>
      </c>
      <c r="B21" s="73" t="s">
        <v>105</v>
      </c>
      <c r="D21" s="107">
        <f>D$16*'Value of Statistical Life'!D21*Appropriate_Crash_Reduction_Factor</f>
        <v>0</v>
      </c>
      <c r="E21" s="107">
        <f>E$16*'Value of Statistical Life'!E21*Appropriate_Crash_Reduction_Factor</f>
        <v>1.993E-2</v>
      </c>
      <c r="F21" s="107">
        <f>F$16*'Value of Statistical Life'!F21*Appropriate_Crash_Reduction_Factor</f>
        <v>1.2916666666666667E-2</v>
      </c>
      <c r="G21" s="107">
        <f>G$16*'Value of Statistical Life'!G21*Appropriate_Crash_Reduction_Factor</f>
        <v>5.4433333333333339E-3</v>
      </c>
      <c r="H21" s="107">
        <f>H$16*'Value of Statistical Life'!H21*Appropriate_Crash_Reduction_Factor</f>
        <v>0</v>
      </c>
      <c r="I21" s="107">
        <f>I$16*'Value of Statistical Life'!I21*Appropriate_Crash_Reduction_Factor</f>
        <v>3.0850000000000001E-3</v>
      </c>
      <c r="J21" s="107">
        <f t="shared" si="9"/>
        <v>4.1374999999999995E-2</v>
      </c>
      <c r="M21" s="20">
        <f>M20+1</f>
        <v>2035</v>
      </c>
      <c r="N21" s="78">
        <f t="shared" si="7"/>
        <v>1.1865220370679053E-2</v>
      </c>
      <c r="O21" s="80">
        <f>O20*(1+IFERROR(_2025_2040_V_C_Growth,_2018_2040_V_C_Growth))</f>
        <v>1.0900298782727831</v>
      </c>
      <c r="P21" s="83">
        <f t="shared" si="4"/>
        <v>0</v>
      </c>
      <c r="Q21" s="109">
        <f>Q20*(1+N21*P21)</f>
        <v>1037507.3517404776</v>
      </c>
      <c r="R21" s="94">
        <f t="shared" si="0"/>
        <v>1</v>
      </c>
      <c r="S21" s="85">
        <f t="shared" si="5"/>
        <v>1037.5073517404776</v>
      </c>
    </row>
    <row r="22" spans="1:19" ht="14.45" x14ac:dyDescent="0.3">
      <c r="A22" s="72" t="s">
        <v>106</v>
      </c>
      <c r="B22" s="73" t="s">
        <v>107</v>
      </c>
      <c r="D22" s="107">
        <f>D$16*'Value of Statistical Life'!D22*Appropriate_Crash_Reduction_Factor</f>
        <v>0</v>
      </c>
      <c r="E22" s="107">
        <f>E$16*'Value of Statistical Life'!E22*Appropriate_Crash_Reduction_Factor</f>
        <v>8.9149999999999993E-3</v>
      </c>
      <c r="F22" s="107">
        <f>F$16*'Value of Statistical Life'!F22*Appropriate_Crash_Reduction_Factor</f>
        <v>2.1041666666666669E-3</v>
      </c>
      <c r="G22" s="107">
        <f>G$16*'Value of Statistical Life'!G22*Appropriate_Crash_Reduction_Factor</f>
        <v>4.9833333333333327E-4</v>
      </c>
      <c r="H22" s="107">
        <f>H$16*'Value of Statistical Life'!H22*Appropriate_Crash_Reduction_Factor</f>
        <v>7.6749999999999995E-4</v>
      </c>
      <c r="I22" s="107">
        <f>I$16*'Value of Statistical Life'!I22*Appropriate_Crash_Reduction_Factor</f>
        <v>1.395E-3</v>
      </c>
      <c r="J22" s="107">
        <f t="shared" si="9"/>
        <v>1.3680000000000001E-2</v>
      </c>
      <c r="M22" s="86">
        <f>M21+1</f>
        <v>2036</v>
      </c>
      <c r="N22" s="78">
        <f t="shared" si="7"/>
        <v>1.1865220370679053E-2</v>
      </c>
      <c r="O22" s="80">
        <f t="shared" si="8"/>
        <v>1.102963322989114</v>
      </c>
      <c r="P22" s="83">
        <f t="shared" si="4"/>
        <v>0</v>
      </c>
      <c r="Q22" s="109">
        <f t="shared" si="6"/>
        <v>1037507.3517404776</v>
      </c>
      <c r="R22" s="94">
        <f t="shared" si="0"/>
        <v>1</v>
      </c>
      <c r="S22" s="85">
        <f t="shared" si="5"/>
        <v>1037.5073517404776</v>
      </c>
    </row>
    <row r="23" spans="1:19" ht="14.45" x14ac:dyDescent="0.3">
      <c r="A23" s="72" t="s">
        <v>108</v>
      </c>
      <c r="B23" s="73" t="s">
        <v>109</v>
      </c>
      <c r="D23" s="107">
        <f>D$16*'Value of Statistical Life'!D23*Appropriate_Crash_Reduction_Factor</f>
        <v>0</v>
      </c>
      <c r="E23" s="107">
        <f>E$16*'Value of Statistical Life'!E23*Appropriate_Crash_Reduction_Factor</f>
        <v>0</v>
      </c>
      <c r="F23" s="107">
        <f>F$16*'Value of Statistical Life'!F23*Appropriate_Crash_Reduction_Factor</f>
        <v>0</v>
      </c>
      <c r="G23" s="107">
        <f>G$16*'Value of Statistical Life'!G23*Appropriate_Crash_Reduction_Factor</f>
        <v>0</v>
      </c>
      <c r="H23" s="107">
        <f>H$16*'Value of Statistical Life'!H23*Appropriate_Crash_Reduction_Factor</f>
        <v>0</v>
      </c>
      <c r="I23" s="107">
        <f>I$16*'Value of Statistical Life'!I23*Appropriate_Crash_Reduction_Factor</f>
        <v>0</v>
      </c>
      <c r="J23" s="107">
        <f t="shared" si="9"/>
        <v>0</v>
      </c>
      <c r="M23" s="20">
        <f t="shared" si="1"/>
        <v>2037</v>
      </c>
      <c r="N23" s="78">
        <f t="shared" si="7"/>
        <v>1.1865220370679053E-2</v>
      </c>
      <c r="O23" s="80">
        <f t="shared" si="8"/>
        <v>1.1160502258771563</v>
      </c>
      <c r="P23" s="83">
        <f t="shared" si="4"/>
        <v>0</v>
      </c>
      <c r="Q23" s="109">
        <f t="shared" si="6"/>
        <v>1037507.3517404776</v>
      </c>
      <c r="R23" s="94">
        <f t="shared" si="0"/>
        <v>1</v>
      </c>
      <c r="S23" s="85">
        <f t="shared" si="5"/>
        <v>1037.5073517404776</v>
      </c>
    </row>
    <row r="24" spans="1:19" ht="14.45" x14ac:dyDescent="0.3">
      <c r="M24" s="86">
        <f t="shared" si="1"/>
        <v>2038</v>
      </c>
      <c r="N24" s="78">
        <f t="shared" si="7"/>
        <v>1.1865220370679053E-2</v>
      </c>
      <c r="O24" s="80">
        <f t="shared" si="8"/>
        <v>1.1292924077519348</v>
      </c>
      <c r="P24" s="83">
        <f t="shared" si="4"/>
        <v>0</v>
      </c>
      <c r="Q24" s="109">
        <f t="shared" si="6"/>
        <v>1037507.3517404776</v>
      </c>
      <c r="R24" s="94">
        <f t="shared" si="0"/>
        <v>1</v>
      </c>
      <c r="S24" s="85">
        <f t="shared" si="5"/>
        <v>1037.5073517404776</v>
      </c>
    </row>
    <row r="25" spans="1:19" ht="14.45" x14ac:dyDescent="0.3">
      <c r="M25" s="20">
        <f t="shared" si="1"/>
        <v>2039</v>
      </c>
      <c r="N25" s="78">
        <f t="shared" si="7"/>
        <v>1.1865220370679053E-2</v>
      </c>
      <c r="O25" s="80">
        <f t="shared" si="8"/>
        <v>1.1426917110328463</v>
      </c>
      <c r="P25" s="83">
        <f t="shared" si="4"/>
        <v>0</v>
      </c>
      <c r="Q25" s="109">
        <f t="shared" si="6"/>
        <v>1037507.3517404776</v>
      </c>
      <c r="R25" s="94">
        <f t="shared" si="0"/>
        <v>1</v>
      </c>
      <c r="S25" s="85">
        <f t="shared" si="5"/>
        <v>1037.5073517404776</v>
      </c>
    </row>
    <row r="26" spans="1:19" ht="14.45" x14ac:dyDescent="0.3">
      <c r="M26" s="86">
        <f t="shared" si="1"/>
        <v>2040</v>
      </c>
      <c r="N26" s="78">
        <f t="shared" si="7"/>
        <v>1.1865220370679053E-2</v>
      </c>
      <c r="O26" s="80">
        <f t="shared" si="8"/>
        <v>1.1562499999999993</v>
      </c>
      <c r="P26" s="83">
        <f t="shared" si="4"/>
        <v>0</v>
      </c>
      <c r="Q26" s="109">
        <f t="shared" si="6"/>
        <v>1037507.3517404776</v>
      </c>
      <c r="R26" s="94">
        <f t="shared" si="0"/>
        <v>0</v>
      </c>
      <c r="S26" s="85">
        <f t="shared" si="5"/>
        <v>0</v>
      </c>
    </row>
    <row r="27" spans="1:19" ht="14.45" x14ac:dyDescent="0.3">
      <c r="M27" s="20">
        <f t="shared" si="1"/>
        <v>2041</v>
      </c>
      <c r="N27" s="78">
        <f t="shared" si="7"/>
        <v>1.1865220370679053E-2</v>
      </c>
      <c r="O27" s="80">
        <f t="shared" si="8"/>
        <v>1.1699691610535969</v>
      </c>
      <c r="P27" s="83">
        <f t="shared" si="4"/>
        <v>0</v>
      </c>
      <c r="Q27" s="109">
        <f t="shared" si="6"/>
        <v>1037507.3517404776</v>
      </c>
      <c r="R27" s="94">
        <f t="shared" si="0"/>
        <v>0</v>
      </c>
      <c r="S27" s="85">
        <f t="shared" si="5"/>
        <v>0</v>
      </c>
    </row>
    <row r="28" spans="1:19" ht="14.45" x14ac:dyDescent="0.3">
      <c r="M28" s="86">
        <f t="shared" si="1"/>
        <v>2042</v>
      </c>
      <c r="N28" s="78">
        <f t="shared" si="7"/>
        <v>1.1865220370679053E-2</v>
      </c>
      <c r="O28" s="80">
        <f t="shared" si="8"/>
        <v>1.1838511029763963</v>
      </c>
      <c r="P28" s="83">
        <f t="shared" si="4"/>
        <v>0</v>
      </c>
      <c r="Q28" s="109">
        <f t="shared" si="6"/>
        <v>1037507.3517404776</v>
      </c>
      <c r="R28" s="94">
        <f t="shared" si="0"/>
        <v>0</v>
      </c>
      <c r="S28" s="85">
        <f t="shared" si="5"/>
        <v>0</v>
      </c>
    </row>
    <row r="29" spans="1:19" ht="14.45" x14ac:dyDescent="0.3">
      <c r="M29" s="20">
        <f t="shared" si="1"/>
        <v>2043</v>
      </c>
      <c r="N29" s="78">
        <f t="shared" si="7"/>
        <v>1.1865220370679053E-2</v>
      </c>
      <c r="O29" s="80">
        <f t="shared" si="8"/>
        <v>1.1978977571992826</v>
      </c>
      <c r="P29" s="83">
        <f t="shared" si="4"/>
        <v>0</v>
      </c>
      <c r="Q29" s="109">
        <f t="shared" si="6"/>
        <v>1037507.3517404776</v>
      </c>
      <c r="R29" s="94">
        <f t="shared" si="0"/>
        <v>0</v>
      </c>
      <c r="S29" s="85">
        <f t="shared" si="5"/>
        <v>0</v>
      </c>
    </row>
    <row r="30" spans="1:19" ht="14.45" x14ac:dyDescent="0.3">
      <c r="M30" s="20">
        <f t="shared" si="1"/>
        <v>2044</v>
      </c>
      <c r="N30" s="78">
        <f t="shared" si="7"/>
        <v>1.1865220370679053E-2</v>
      </c>
      <c r="O30" s="80">
        <f t="shared" si="8"/>
        <v>1.2121110780699942</v>
      </c>
      <c r="P30" s="83">
        <f t="shared" si="4"/>
        <v>0</v>
      </c>
      <c r="Q30" s="109">
        <f t="shared" ref="Q30:Q31" si="10">Q29*(1+N30*P30)</f>
        <v>1037507.3517404776</v>
      </c>
      <c r="R30" s="94">
        <f t="shared" si="0"/>
        <v>0</v>
      </c>
      <c r="S30" s="85">
        <f t="shared" si="5"/>
        <v>0</v>
      </c>
    </row>
    <row r="31" spans="1:19" ht="14.45" x14ac:dyDescent="0.3">
      <c r="M31" s="20">
        <f t="shared" si="1"/>
        <v>2045</v>
      </c>
      <c r="N31" s="78">
        <f t="shared" si="7"/>
        <v>1.1865220370679053E-2</v>
      </c>
      <c r="O31" s="80">
        <f t="shared" si="8"/>
        <v>1.226493043125036</v>
      </c>
      <c r="P31" s="83">
        <f t="shared" si="4"/>
        <v>0</v>
      </c>
      <c r="Q31" s="109">
        <f t="shared" si="10"/>
        <v>1037507.3517404776</v>
      </c>
      <c r="R31" s="94">
        <f t="shared" si="0"/>
        <v>0</v>
      </c>
      <c r="S31" s="85">
        <f t="shared" si="5"/>
        <v>0</v>
      </c>
    </row>
    <row r="32" spans="1:19" ht="14.45" x14ac:dyDescent="0.3">
      <c r="A32" s="11"/>
      <c r="M32" s="20">
        <f t="shared" si="1"/>
        <v>2046</v>
      </c>
      <c r="N32" s="78">
        <f t="shared" si="7"/>
        <v>1.1865220370679053E-2</v>
      </c>
      <c r="O32" s="80">
        <f t="shared" si="8"/>
        <v>1.2410456533648193</v>
      </c>
      <c r="P32" s="83">
        <f t="shared" si="4"/>
        <v>0</v>
      </c>
      <c r="Q32" s="109">
        <f t="shared" ref="Q32:Q36" si="11">Q31*(1+N32*P32)</f>
        <v>1037507.3517404776</v>
      </c>
      <c r="R32" s="94">
        <f t="shared" si="0"/>
        <v>0</v>
      </c>
      <c r="S32" s="85">
        <f t="shared" si="5"/>
        <v>0</v>
      </c>
    </row>
    <row r="33" spans="1:19" ht="14.45" x14ac:dyDescent="0.3">
      <c r="A33" s="11"/>
      <c r="M33" s="20">
        <f t="shared" si="1"/>
        <v>2047</v>
      </c>
      <c r="N33" s="78">
        <f t="shared" si="7"/>
        <v>1.1865220370679053E-2</v>
      </c>
      <c r="O33" s="80">
        <f t="shared" si="8"/>
        <v>1.2557709335320664</v>
      </c>
      <c r="P33" s="83">
        <f t="shared" si="4"/>
        <v>0</v>
      </c>
      <c r="Q33" s="109">
        <f t="shared" si="11"/>
        <v>1037507.3517404776</v>
      </c>
      <c r="R33" s="94">
        <f t="shared" si="0"/>
        <v>0</v>
      </c>
      <c r="S33" s="85">
        <f t="shared" si="5"/>
        <v>0</v>
      </c>
    </row>
    <row r="34" spans="1:19" x14ac:dyDescent="0.25">
      <c r="M34" s="20">
        <f t="shared" si="1"/>
        <v>2048</v>
      </c>
      <c r="N34" s="78">
        <f t="shared" si="7"/>
        <v>1.1865220370679053E-2</v>
      </c>
      <c r="O34" s="80">
        <f t="shared" si="8"/>
        <v>1.2706709323935177</v>
      </c>
      <c r="P34" s="83">
        <f t="shared" si="4"/>
        <v>0</v>
      </c>
      <c r="Q34" s="109">
        <f t="shared" si="11"/>
        <v>1037507.3517404776</v>
      </c>
      <c r="R34" s="94">
        <f t="shared" si="0"/>
        <v>0</v>
      </c>
      <c r="S34" s="85">
        <f t="shared" si="5"/>
        <v>0</v>
      </c>
    </row>
    <row r="35" spans="1:19" x14ac:dyDescent="0.25">
      <c r="M35" s="20">
        <f t="shared" si="1"/>
        <v>2049</v>
      </c>
      <c r="N35" s="78">
        <f t="shared" si="7"/>
        <v>1.1865220370679053E-2</v>
      </c>
      <c r="O35" s="80">
        <f t="shared" si="8"/>
        <v>1.285747723024983</v>
      </c>
      <c r="P35" s="83">
        <f t="shared" si="4"/>
        <v>0</v>
      </c>
      <c r="Q35" s="109">
        <f t="shared" si="11"/>
        <v>1037507.3517404776</v>
      </c>
      <c r="R35" s="94">
        <f t="shared" si="0"/>
        <v>0</v>
      </c>
      <c r="S35" s="85">
        <f t="shared" si="5"/>
        <v>0</v>
      </c>
    </row>
    <row r="36" spans="1:19" x14ac:dyDescent="0.25">
      <c r="M36" s="20">
        <f t="shared" si="1"/>
        <v>2050</v>
      </c>
      <c r="N36" s="78">
        <f t="shared" si="7"/>
        <v>1.1865220370679053E-2</v>
      </c>
      <c r="O36" s="80">
        <f t="shared" si="8"/>
        <v>1.3010034030997732</v>
      </c>
      <c r="P36" s="83">
        <f t="shared" si="4"/>
        <v>0</v>
      </c>
      <c r="Q36" s="109">
        <f t="shared" si="11"/>
        <v>1037507.3517404776</v>
      </c>
      <c r="R36" s="94">
        <f t="shared" si="0"/>
        <v>0</v>
      </c>
      <c r="S36" s="85">
        <f t="shared" si="5"/>
        <v>0</v>
      </c>
    </row>
  </sheetData>
  <mergeCells count="2">
    <mergeCell ref="A15:B16"/>
    <mergeCell ref="J15:J16"/>
  </mergeCells>
  <pageMargins left="0.25" right="0.25" top="0.75" bottom="0.75" header="0.3" footer="0.3"/>
  <pageSetup paperSize="17"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23"/>
  <sheetViews>
    <sheetView zoomScaleNormal="100" workbookViewId="0">
      <selection activeCell="C8" sqref="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ht="14.45" x14ac:dyDescent="0.3">
      <c r="B2" s="4" t="s">
        <v>132</v>
      </c>
    </row>
    <row r="4" spans="2:3" ht="14.45" x14ac:dyDescent="0.3">
      <c r="B4" s="4" t="s">
        <v>34</v>
      </c>
    </row>
    <row r="5" spans="2:3" ht="14.45" x14ac:dyDescent="0.3">
      <c r="B5" s="45" t="s">
        <v>37</v>
      </c>
      <c r="C5" s="51">
        <v>2015</v>
      </c>
    </row>
    <row r="6" spans="2:3" ht="14.45" x14ac:dyDescent="0.3">
      <c r="B6" s="45" t="s">
        <v>38</v>
      </c>
      <c r="C6" s="71" t="s">
        <v>91</v>
      </c>
    </row>
    <row r="7" spans="2:3" ht="14.45" x14ac:dyDescent="0.3">
      <c r="B7" s="45" t="s">
        <v>134</v>
      </c>
      <c r="C7" s="52" t="s">
        <v>45</v>
      </c>
    </row>
    <row r="8" spans="2:3" ht="14.45" x14ac:dyDescent="0.3">
      <c r="B8" s="45" t="s">
        <v>133</v>
      </c>
      <c r="C8" s="70">
        <f>'GDP Deflators'!P5-1</f>
        <v>2.0832073567924381E-2</v>
      </c>
    </row>
    <row r="9" spans="2:3" ht="14.45" x14ac:dyDescent="0.3">
      <c r="B9" s="35"/>
      <c r="C9" s="36"/>
    </row>
    <row r="10" spans="2:3" ht="14.45" x14ac:dyDescent="0.3">
      <c r="B10" s="37" t="s">
        <v>92</v>
      </c>
      <c r="C10" s="36"/>
    </row>
    <row r="11" spans="2:3" ht="14.45" x14ac:dyDescent="0.3">
      <c r="B11" s="45" t="s">
        <v>93</v>
      </c>
      <c r="C11" s="76">
        <f>'Value of Statistical Life'!F11</f>
        <v>9587302.7263098899</v>
      </c>
    </row>
    <row r="12" spans="2:3" ht="14.45" x14ac:dyDescent="0.3">
      <c r="B12" s="122" t="s">
        <v>111</v>
      </c>
      <c r="C12" s="123"/>
    </row>
    <row r="14" spans="2:3" ht="14.45" x14ac:dyDescent="0.3">
      <c r="B14" s="37" t="s">
        <v>35</v>
      </c>
      <c r="C14" s="36"/>
    </row>
    <row r="15" spans="2:3" ht="14.45" x14ac:dyDescent="0.3">
      <c r="B15" s="45" t="s">
        <v>84</v>
      </c>
      <c r="C15" s="50">
        <f>'Value of Travel Time'!D21</f>
        <v>16.100000000000001</v>
      </c>
    </row>
    <row r="16" spans="2:3" ht="14.45" x14ac:dyDescent="0.3">
      <c r="B16" s="90" t="s">
        <v>130</v>
      </c>
      <c r="C16" s="91">
        <v>1.2E-2</v>
      </c>
    </row>
    <row r="18" spans="2:3" ht="14.45" x14ac:dyDescent="0.3">
      <c r="B18" s="37" t="s">
        <v>36</v>
      </c>
    </row>
    <row r="19" spans="2:3" ht="14.45" x14ac:dyDescent="0.3">
      <c r="B19" s="47" t="s">
        <v>86</v>
      </c>
      <c r="C19" s="48">
        <f>'Value of Emissions'!D4</f>
        <v>2083.1541467275511</v>
      </c>
    </row>
    <row r="20" spans="2:3" ht="14.45" x14ac:dyDescent="0.3">
      <c r="B20" s="47" t="s">
        <v>87</v>
      </c>
      <c r="C20" s="48">
        <f>'Value of Emissions'!D5</f>
        <v>8208.6069103416321</v>
      </c>
    </row>
    <row r="21" spans="2:3" ht="14.45" x14ac:dyDescent="0.3">
      <c r="B21" s="45" t="s">
        <v>49</v>
      </c>
      <c r="C21" s="49">
        <f>(0.267383+0.37942)/2</f>
        <v>0.32340150000000001</v>
      </c>
    </row>
    <row r="22" spans="2:3" ht="14.45" x14ac:dyDescent="0.3">
      <c r="B22" s="45" t="s">
        <v>50</v>
      </c>
      <c r="C22" s="49">
        <f>(0.183428+0.198698)/2</f>
        <v>0.19106300000000001</v>
      </c>
    </row>
    <row r="23" spans="2:3" ht="69" x14ac:dyDescent="0.3">
      <c r="B23" s="45" t="s">
        <v>46</v>
      </c>
      <c r="C23" s="46"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3">
      <c r="B2" s="5" t="s">
        <v>74</v>
      </c>
    </row>
    <row r="3" spans="2:8" x14ac:dyDescent="0.3">
      <c r="B3" s="5"/>
    </row>
    <row r="4" spans="2:8" x14ac:dyDescent="0.3">
      <c r="B4" t="s">
        <v>0</v>
      </c>
      <c r="C4" t="s">
        <v>1</v>
      </c>
      <c r="D4" s="1">
        <v>2792941</v>
      </c>
      <c r="E4" s="3">
        <f>D4/D$12</f>
        <v>0.13018346701231348</v>
      </c>
      <c r="G4" t="s">
        <v>2</v>
      </c>
      <c r="H4" s="3">
        <f>SUMIF($C$4:$C$11,G4,$E$4:$E$11)</f>
        <v>0.74413612006105756</v>
      </c>
    </row>
    <row r="5" spans="2:8" x14ac:dyDescent="0.3">
      <c r="B5" t="s">
        <v>0</v>
      </c>
      <c r="C5" t="s">
        <v>2</v>
      </c>
      <c r="D5" s="1">
        <v>10901839</v>
      </c>
      <c r="E5" s="3">
        <f t="shared" ref="E5:E12" si="0">D5/D$12</f>
        <v>0.50815223015096012</v>
      </c>
      <c r="G5" t="s">
        <v>1</v>
      </c>
      <c r="H5" s="3">
        <f>SUMIF($C$4:$C$11,G5,$E$4:$E$11)</f>
        <v>0.21933837248304314</v>
      </c>
    </row>
    <row r="6" spans="2:8" x14ac:dyDescent="0.3">
      <c r="B6" t="s">
        <v>3</v>
      </c>
      <c r="C6" t="s">
        <v>1</v>
      </c>
      <c r="D6" s="1">
        <v>1856330</v>
      </c>
      <c r="E6" s="3">
        <f t="shared" si="0"/>
        <v>8.6526523588922169E-2</v>
      </c>
      <c r="G6" t="s">
        <v>4</v>
      </c>
      <c r="H6" s="3">
        <f>SUMIF($C$4:$C$11,G6,$E$4:$E$11)</f>
        <v>3.6525507455899359E-2</v>
      </c>
    </row>
    <row r="7" spans="2:8" x14ac:dyDescent="0.3">
      <c r="B7" t="s">
        <v>3</v>
      </c>
      <c r="C7" t="s">
        <v>2</v>
      </c>
      <c r="D7" s="1">
        <v>4856431</v>
      </c>
      <c r="E7" s="3">
        <f t="shared" si="0"/>
        <v>0.22636605101435245</v>
      </c>
      <c r="H7" s="3">
        <f>SUM(H4:H6)</f>
        <v>1</v>
      </c>
    </row>
    <row r="8" spans="2:8" x14ac:dyDescent="0.3">
      <c r="B8" t="s">
        <v>75</v>
      </c>
      <c r="C8" t="s">
        <v>4</v>
      </c>
      <c r="D8" s="1">
        <v>101057</v>
      </c>
      <c r="E8" s="3">
        <f t="shared" si="0"/>
        <v>4.7104291232300871E-3</v>
      </c>
    </row>
    <row r="9" spans="2:8" x14ac:dyDescent="0.3">
      <c r="B9" t="s">
        <v>76</v>
      </c>
      <c r="C9" t="s">
        <v>4</v>
      </c>
      <c r="D9" s="1">
        <v>682557</v>
      </c>
      <c r="E9" s="3">
        <f t="shared" si="0"/>
        <v>3.1815078332669271E-2</v>
      </c>
    </row>
    <row r="10" spans="2:8" x14ac:dyDescent="0.3">
      <c r="B10" t="s">
        <v>5</v>
      </c>
      <c r="C10" t="s">
        <v>1</v>
      </c>
      <c r="D10" s="1">
        <v>56389</v>
      </c>
      <c r="E10" s="3">
        <f t="shared" si="0"/>
        <v>2.6283818818075085E-3</v>
      </c>
    </row>
    <row r="11" spans="2:8" x14ac:dyDescent="0.3">
      <c r="B11" t="s">
        <v>6</v>
      </c>
      <c r="C11" t="s">
        <v>2</v>
      </c>
      <c r="D11" s="1">
        <v>206340</v>
      </c>
      <c r="E11" s="3">
        <f t="shared" si="0"/>
        <v>9.6178388957449384E-3</v>
      </c>
    </row>
    <row r="12" spans="2:8" x14ac:dyDescent="0.3">
      <c r="D12" s="2">
        <f>SUM(D4:D11)</f>
        <v>21453884</v>
      </c>
      <c r="E12" s="3">
        <f t="shared" si="0"/>
        <v>1</v>
      </c>
    </row>
    <row r="15" spans="2:8" x14ac:dyDescent="0.3">
      <c r="B15" s="5" t="s">
        <v>135</v>
      </c>
    </row>
    <row r="17" spans="2:4" x14ac:dyDescent="0.3">
      <c r="C17" s="8" t="s">
        <v>66</v>
      </c>
      <c r="D17" s="8" t="s">
        <v>83</v>
      </c>
    </row>
    <row r="18" spans="2:4" x14ac:dyDescent="0.3">
      <c r="B18" s="6" t="s">
        <v>7</v>
      </c>
      <c r="C18" s="7">
        <v>12.42</v>
      </c>
      <c r="D18" s="53">
        <f>C18*(1+'Assumed Values'!$C$16)^(2015-2013)</f>
        <v>12.719868479999999</v>
      </c>
    </row>
    <row r="19" spans="2:4" x14ac:dyDescent="0.3">
      <c r="B19" s="6" t="s">
        <v>8</v>
      </c>
      <c r="C19" s="7">
        <v>25.23</v>
      </c>
      <c r="D19" s="53">
        <f>C19*(1+'Assumed Values'!$C$16)^(2015-2013)</f>
        <v>25.839153119999999</v>
      </c>
    </row>
    <row r="20" spans="2:4" x14ac:dyDescent="0.3">
      <c r="B20" s="6" t="s">
        <v>4</v>
      </c>
      <c r="C20" s="7">
        <v>25.75</v>
      </c>
      <c r="D20" s="53">
        <f>C20*(1+'Assumed Values'!$C$16)^(2015-2013)</f>
        <v>26.371707999999998</v>
      </c>
    </row>
    <row r="21" spans="2:4" x14ac:dyDescent="0.3">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5" sqref="F5:F11"/>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3">
      <c r="B2" s="5" t="s">
        <v>136</v>
      </c>
    </row>
    <row r="4" spans="2:9" x14ac:dyDescent="0.3">
      <c r="B4" s="72" t="s">
        <v>94</v>
      </c>
      <c r="C4" s="72" t="s">
        <v>95</v>
      </c>
      <c r="D4" s="72" t="s">
        <v>96</v>
      </c>
      <c r="E4" s="72" t="s">
        <v>97</v>
      </c>
      <c r="F4" s="72" t="s">
        <v>110</v>
      </c>
    </row>
    <row r="5" spans="2:9" x14ac:dyDescent="0.3">
      <c r="B5" s="73" t="s">
        <v>311</v>
      </c>
      <c r="C5" s="73" t="s">
        <v>312</v>
      </c>
      <c r="D5" s="75">
        <v>0</v>
      </c>
      <c r="E5" s="74">
        <v>0</v>
      </c>
      <c r="F5" s="74">
        <f>E5*(1+'Assumed Values'!$C$8)^(2015-2013)</f>
        <v>0</v>
      </c>
    </row>
    <row r="6" spans="2:9" x14ac:dyDescent="0.3">
      <c r="B6" s="73" t="s">
        <v>98</v>
      </c>
      <c r="C6" s="73" t="s">
        <v>99</v>
      </c>
      <c r="D6" s="75">
        <v>3.0000000000000001E-3</v>
      </c>
      <c r="E6" s="74">
        <v>27600</v>
      </c>
      <c r="F6" s="74">
        <f>E6*(1+'Assumed Values'!$C$8)^(2015-2013)</f>
        <v>28761.908178929672</v>
      </c>
    </row>
    <row r="7" spans="2:9" x14ac:dyDescent="0.3">
      <c r="B7" s="73" t="s">
        <v>100</v>
      </c>
      <c r="C7" s="73" t="s">
        <v>101</v>
      </c>
      <c r="D7" s="75">
        <v>4.7E-2</v>
      </c>
      <c r="E7" s="74">
        <v>432400</v>
      </c>
      <c r="F7" s="74">
        <f>E7*(1+'Assumed Values'!$C$8)^(2015-2013)</f>
        <v>450603.22813656484</v>
      </c>
    </row>
    <row r="8" spans="2:9" x14ac:dyDescent="0.3">
      <c r="B8" s="73" t="s">
        <v>102</v>
      </c>
      <c r="C8" s="73" t="s">
        <v>103</v>
      </c>
      <c r="D8" s="75">
        <v>0.105</v>
      </c>
      <c r="E8" s="74">
        <v>966000</v>
      </c>
      <c r="F8" s="74">
        <f>E8*(1+'Assumed Values'!$C$8)^(2015-2013)</f>
        <v>1006666.7862625385</v>
      </c>
    </row>
    <row r="9" spans="2:9" x14ac:dyDescent="0.3">
      <c r="B9" s="73" t="s">
        <v>104</v>
      </c>
      <c r="C9" s="73" t="s">
        <v>105</v>
      </c>
      <c r="D9" s="75">
        <v>0.26600000000000001</v>
      </c>
      <c r="E9" s="74">
        <v>2447200</v>
      </c>
      <c r="F9" s="74">
        <f>E9*(1+'Assumed Values'!$C$8)^(2015-2013)</f>
        <v>2550222.5251984308</v>
      </c>
    </row>
    <row r="10" spans="2:9" x14ac:dyDescent="0.3">
      <c r="B10" s="73" t="s">
        <v>106</v>
      </c>
      <c r="C10" s="73" t="s">
        <v>107</v>
      </c>
      <c r="D10" s="75">
        <v>0.59299999999999997</v>
      </c>
      <c r="E10" s="74">
        <v>5455600</v>
      </c>
      <c r="F10" s="74">
        <f>E10*(1+'Assumed Values'!$C$8)^(2015-2013)</f>
        <v>5685270.5167017654</v>
      </c>
    </row>
    <row r="11" spans="2:9" x14ac:dyDescent="0.3">
      <c r="B11" s="73" t="s">
        <v>108</v>
      </c>
      <c r="C11" s="73" t="s">
        <v>109</v>
      </c>
      <c r="D11" s="75">
        <v>1</v>
      </c>
      <c r="E11" s="74">
        <v>9200000</v>
      </c>
      <c r="F11" s="74">
        <f>E11*(1+'Assumed Values'!$C$8)^(2015-2013)</f>
        <v>9587302.7263098899</v>
      </c>
    </row>
    <row r="14" spans="2:9" x14ac:dyDescent="0.3">
      <c r="B14" s="5" t="s">
        <v>314</v>
      </c>
    </row>
    <row r="16" spans="2:9" x14ac:dyDescent="0.3">
      <c r="B16" s="72" t="s">
        <v>94</v>
      </c>
      <c r="C16" s="103" t="s">
        <v>95</v>
      </c>
      <c r="D16" s="72" t="s">
        <v>145</v>
      </c>
      <c r="E16" s="72" t="s">
        <v>151</v>
      </c>
      <c r="F16" s="72" t="s">
        <v>150</v>
      </c>
      <c r="G16" s="72" t="s">
        <v>149</v>
      </c>
      <c r="H16" s="72" t="s">
        <v>148</v>
      </c>
      <c r="I16" s="72" t="s">
        <v>147</v>
      </c>
    </row>
    <row r="17" spans="2:9" x14ac:dyDescent="0.3">
      <c r="B17" s="72" t="s">
        <v>311</v>
      </c>
      <c r="C17" s="103" t="s">
        <v>312</v>
      </c>
      <c r="D17" s="104">
        <v>0</v>
      </c>
      <c r="E17" s="104">
        <v>3.4369999999999998E-2</v>
      </c>
      <c r="F17" s="104">
        <v>8.3470000000000003E-2</v>
      </c>
      <c r="G17" s="104">
        <v>0.23436999999999999</v>
      </c>
      <c r="H17" s="104">
        <v>0.92534000000000005</v>
      </c>
      <c r="I17" s="104">
        <v>0.43675999999999998</v>
      </c>
    </row>
    <row r="18" spans="2:9" x14ac:dyDescent="0.3">
      <c r="B18" s="72" t="s">
        <v>98</v>
      </c>
      <c r="C18" s="73" t="s">
        <v>99</v>
      </c>
      <c r="D18" s="104">
        <v>0</v>
      </c>
      <c r="E18" s="104">
        <v>0.55449000000000004</v>
      </c>
      <c r="F18" s="104">
        <v>0.76842999999999995</v>
      </c>
      <c r="G18" s="104">
        <v>0.68945999999999996</v>
      </c>
      <c r="H18" s="104">
        <v>7.2569999999999996E-2</v>
      </c>
      <c r="I18" s="104">
        <v>0.41738999999999998</v>
      </c>
    </row>
    <row r="19" spans="2:9" x14ac:dyDescent="0.3">
      <c r="B19" s="72" t="s">
        <v>100</v>
      </c>
      <c r="C19" s="73" t="s">
        <v>101</v>
      </c>
      <c r="D19" s="104">
        <v>0</v>
      </c>
      <c r="E19" s="104">
        <v>0.20907999999999999</v>
      </c>
      <c r="F19" s="104">
        <v>0.10897999999999999</v>
      </c>
      <c r="G19" s="104">
        <v>6.3909999999999995E-2</v>
      </c>
      <c r="H19" s="104">
        <v>1.98E-3</v>
      </c>
      <c r="I19" s="104">
        <v>8.8719999999999993E-2</v>
      </c>
    </row>
    <row r="20" spans="2:9" x14ac:dyDescent="0.3">
      <c r="B20" s="72" t="s">
        <v>102</v>
      </c>
      <c r="C20" s="73" t="s">
        <v>103</v>
      </c>
      <c r="D20" s="104">
        <v>0</v>
      </c>
      <c r="E20" s="104">
        <v>0.14437</v>
      </c>
      <c r="F20" s="104">
        <v>3.1910000000000001E-2</v>
      </c>
      <c r="G20" s="104">
        <v>1.0710000000000001E-2</v>
      </c>
      <c r="H20" s="104">
        <v>8.0000000000000007E-5</v>
      </c>
      <c r="I20" s="104">
        <v>4.8169999999999998E-2</v>
      </c>
    </row>
    <row r="21" spans="2:9" x14ac:dyDescent="0.3">
      <c r="B21" s="72" t="s">
        <v>104</v>
      </c>
      <c r="C21" s="73" t="s">
        <v>105</v>
      </c>
      <c r="D21" s="104">
        <v>0</v>
      </c>
      <c r="E21" s="104">
        <v>3.986E-2</v>
      </c>
      <c r="F21" s="104">
        <v>6.1999999999999998E-3</v>
      </c>
      <c r="G21" s="104">
        <v>1.42E-3</v>
      </c>
      <c r="H21" s="104">
        <v>0</v>
      </c>
      <c r="I21" s="104">
        <v>6.1700000000000001E-3</v>
      </c>
    </row>
    <row r="22" spans="2:9" x14ac:dyDescent="0.3">
      <c r="B22" s="72" t="s">
        <v>106</v>
      </c>
      <c r="C22" s="73" t="s">
        <v>107</v>
      </c>
      <c r="D22" s="104">
        <v>0</v>
      </c>
      <c r="E22" s="104">
        <v>1.7829999999999999E-2</v>
      </c>
      <c r="F22" s="104">
        <v>1.01E-3</v>
      </c>
      <c r="G22" s="104">
        <v>1.2999999999999999E-4</v>
      </c>
      <c r="H22" s="104">
        <v>3.0000000000000001E-5</v>
      </c>
      <c r="I22" s="104">
        <v>2.7899999999999999E-3</v>
      </c>
    </row>
    <row r="23" spans="2:9" x14ac:dyDescent="0.3">
      <c r="B23" s="72" t="s">
        <v>108</v>
      </c>
      <c r="C23" s="73" t="s">
        <v>109</v>
      </c>
      <c r="D23" s="104">
        <v>1</v>
      </c>
      <c r="E23" s="104">
        <v>0</v>
      </c>
      <c r="F23" s="104">
        <v>0</v>
      </c>
      <c r="G23" s="104">
        <v>0</v>
      </c>
      <c r="H23" s="104">
        <v>0</v>
      </c>
      <c r="I23" s="104">
        <v>0</v>
      </c>
    </row>
    <row r="24" spans="2:9" x14ac:dyDescent="0.3">
      <c r="B24" s="124" t="s">
        <v>313</v>
      </c>
      <c r="C24" s="124"/>
      <c r="D24" s="105">
        <f t="shared" ref="D24:I24" si="0">SUM(D17:D23)</f>
        <v>1</v>
      </c>
      <c r="E24" s="105">
        <f t="shared" si="0"/>
        <v>1</v>
      </c>
      <c r="F24" s="105">
        <f t="shared" si="0"/>
        <v>0.99999999999999989</v>
      </c>
      <c r="G24" s="105">
        <f t="shared" si="0"/>
        <v>0.99999999999999989</v>
      </c>
      <c r="H24" s="105">
        <f t="shared" si="0"/>
        <v>1</v>
      </c>
      <c r="I24" s="105">
        <f t="shared" si="0"/>
        <v>1</v>
      </c>
    </row>
  </sheetData>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44</vt:i4>
      </vt:variant>
    </vt:vector>
  </HeadingPairs>
  <TitlesOfParts>
    <vt:vector size="56" baseType="lpstr">
      <vt:lpstr>Instructions</vt:lpstr>
      <vt:lpstr>ITS Delay Worksheet</vt:lpstr>
      <vt:lpstr>Emissions Reduction Worksheet</vt:lpstr>
      <vt:lpstr>Inputs &amp; Outputs</vt:lpstr>
      <vt:lpstr>CRASH</vt:lpstr>
      <vt:lpstr>Calculations</vt:lpstr>
      <vt:lpstr>Assumed Values</vt:lpstr>
      <vt:lpstr>Value of Travel Time</vt:lpstr>
      <vt:lpstr>Value of Statistical Life</vt:lpstr>
      <vt:lpstr>Value of Emissions</vt:lpstr>
      <vt:lpstr>GDP Deflators</vt:lpstr>
      <vt:lpstr>CRASH SUM</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Application_ID_Number</vt:lpstr>
      <vt:lpstr>Appropriate_Crash_Reduction_Factor</vt:lpstr>
      <vt:lpstr>Avg_Death_Cnt</vt:lpstr>
      <vt:lpstr>Avg_Incap_Injry_Cnt</vt:lpstr>
      <vt:lpstr>Avg_Non_Injry_Cnt</vt:lpstr>
      <vt:lpstr>Avg_Nonincap_Injry_Cnt</vt:lpstr>
      <vt:lpstr>Avg_Poss_Injry_Cnt</vt:lpstr>
      <vt:lpstr>Avg_Unkn_Injry_Cnt</vt:lpstr>
      <vt:lpstr>Base_Year</vt:lpstr>
      <vt:lpstr>Crash_Avg</vt:lpstr>
      <vt:lpstr>Crash_Hist_Reset</vt:lpstr>
      <vt:lpstr>Crash_Hist_Tab</vt:lpstr>
      <vt:lpstr>CRIS_Titles</vt:lpstr>
      <vt:lpstr>GDP_Deflator_Future</vt:lpstr>
      <vt:lpstr>Name</vt:lpstr>
      <vt:lpstr>Possible_Crash_Reductions</vt:lpstr>
      <vt:lpstr>Preventable_Crash_History</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Value_of_Delay_Savings__2015_____000s</vt:lpstr>
      <vt:lpstr>Value_of_Statistical_Life_2015</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Alexandria Norman</cp:lastModifiedBy>
  <cp:lastPrinted>2014-11-11T16:55:33Z</cp:lastPrinted>
  <dcterms:created xsi:type="dcterms:W3CDTF">2012-07-25T15:48:32Z</dcterms:created>
  <dcterms:modified xsi:type="dcterms:W3CDTF">2015-01-12T16:59:07Z</dcterms:modified>
</cp:coreProperties>
</file>