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05" windowWidth="15645" windowHeight="792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Value of Statistical Life" sheetId="9" r:id="rId8"/>
    <sheet name="Value of Emissions" sheetId="6" r:id="rId9"/>
    <sheet name="GDP Deflators" sheetId="4" r:id="rId10"/>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'Inputs &amp; Outputs'!$E$8</definedName>
    <definedName name="_2018_V_C_Ratio">Calculations!$E$8</definedName>
    <definedName name="_2018_Volume">'Inputs &amp; Outputs'!$E$7</definedName>
    <definedName name="_2025_2040_Demand_Growth">Calculations!$E$6</definedName>
    <definedName name="_2025_2040_V_C_Growth">Calculations!$E$12</definedName>
    <definedName name="_2025_Capacity">'Inputs &amp; Outputs'!$E$10</definedName>
    <definedName name="_2025_V_C_Ratio">Calculations!$E$9</definedName>
    <definedName name="_2025_Volume">'Inputs &amp; Outputs'!$E$9</definedName>
    <definedName name="_2040_Capacity">'Inputs &amp; Outputs'!$E$12</definedName>
    <definedName name="_2040_V_C_Ratio">Calculations!$E$10</definedName>
    <definedName name="_2040_Volume">'Inputs &amp; Outputs'!$E$11</definedName>
    <definedName name="Annual_Days_of_Travel">Calculations!$B$8</definedName>
    <definedName name="Application_ID_Number">'Inputs &amp; Outputs'!$B$7</definedName>
    <definedName name="Base_Year">Calculations!$B$4</definedName>
    <definedName name="Discount_Rate">Calculations!#REF!</definedName>
    <definedName name="Name">'Inputs &amp; Outputs'!$B$6</definedName>
    <definedName name="_xlnm.Print_Area" localSheetId="5">'Assumed Values'!$B$2:$C$30</definedName>
    <definedName name="_xlnm.Print_Area" localSheetId="4">Calculations!$A$3:$Q$36</definedName>
    <definedName name="_xlnm.Print_Area" localSheetId="2">'Emissions Reduction Worksheet'!$A$3:$K$33</definedName>
    <definedName name="_xlnm.Print_Area" localSheetId="3">'Inputs &amp; Outputs'!$A$3:$F$27</definedName>
    <definedName name="_xlnm.Print_Area" localSheetId="0">Instructions!$A$1:$G$12</definedName>
    <definedName name="_xlnm.Print_Area" localSheetId="1">'ITS Delay Worksheet'!$A$3:$J$33</definedName>
    <definedName name="Real_wage_growth_rate">Calculations!$B$7</definedName>
    <definedName name="Sponsor_ID_Number__CSJ__etc.">'Inputs &amp; Outputs'!$B$8</definedName>
    <definedName name="Value_of_Delay_Savings__2015_____000s">Calculations!$Q$4:$Q$29+Calculations!$Q$4:$Q$36</definedName>
    <definedName name="Value_of_Travel_Time__VoTT___2015">Calculations!$B$6</definedName>
    <definedName name="Vehicle_Occupancy">Calculations!$B$5</definedName>
    <definedName name="Year_Open_to_Traffic?">'Inputs &amp; Outputs'!$B$9</definedName>
    <definedName name="Years_to_include_in_BCA_Analysis">Calculations!$B$9</definedName>
  </definedNames>
  <calcPr calcId="145621"/>
</workbook>
</file>

<file path=xl/calcChain.xml><?xml version="1.0" encoding="utf-8"?>
<calcChain xmlns="http://schemas.openxmlformats.org/spreadsheetml/2006/main">
  <c r="E10" i="12" l="1"/>
  <c r="E9" i="12"/>
  <c r="E8" i="12"/>
  <c r="L4" i="12" s="1"/>
  <c r="M4" i="12" s="1"/>
  <c r="E6" i="12"/>
  <c r="F4" i="12"/>
  <c r="I4" i="12" s="1"/>
  <c r="E4" i="12"/>
  <c r="J4" i="12" s="1"/>
  <c r="D19" i="1"/>
  <c r="D20" i="1"/>
  <c r="D18" i="1"/>
  <c r="E5" i="12"/>
  <c r="O4" i="12"/>
  <c r="E7" i="12"/>
  <c r="K15" i="12" l="1"/>
  <c r="K33" i="12"/>
  <c r="K35" i="12"/>
  <c r="K32" i="12"/>
  <c r="K34" i="12"/>
  <c r="K36" i="12"/>
  <c r="K31" i="12"/>
  <c r="K30" i="12"/>
  <c r="K7" i="12"/>
  <c r="K24" i="12"/>
  <c r="K8" i="12"/>
  <c r="K17" i="12"/>
  <c r="K11" i="12"/>
  <c r="K28" i="12"/>
  <c r="K20" i="12"/>
  <c r="K5" i="12"/>
  <c r="K29" i="12"/>
  <c r="K21" i="12"/>
  <c r="K13" i="12"/>
  <c r="K16" i="12"/>
  <c r="K27" i="12"/>
  <c r="K25" i="12"/>
  <c r="K9" i="12"/>
  <c r="K26" i="12"/>
  <c r="K18" i="12"/>
  <c r="K10" i="12"/>
  <c r="K19" i="12"/>
  <c r="K12" i="12"/>
  <c r="K22" i="12"/>
  <c r="K14" i="12"/>
  <c r="K6" i="12"/>
  <c r="K23" i="12"/>
  <c r="E12" i="12"/>
  <c r="E11" i="12"/>
  <c r="E13" i="12"/>
  <c r="N4" i="12"/>
  <c r="H5" i="12"/>
  <c r="O5" i="12" s="1"/>
  <c r="L5" i="12" l="1"/>
  <c r="M5" i="12" s="1"/>
  <c r="N5" i="12" s="1"/>
  <c r="H6" i="12"/>
  <c r="O6" i="12" s="1"/>
  <c r="L6" i="12" l="1"/>
  <c r="L7" i="12" s="1"/>
  <c r="H7" i="12"/>
  <c r="O7" i="12" s="1"/>
  <c r="C21" i="2"/>
  <c r="B18" i="5"/>
  <c r="E17" i="5" s="1"/>
  <c r="C22" i="2"/>
  <c r="B19" i="5"/>
  <c r="E18" i="5" s="1"/>
  <c r="G4" i="7"/>
  <c r="G5" i="7" s="1"/>
  <c r="G4" i="5"/>
  <c r="G5" i="5" s="1"/>
  <c r="G6" i="5" s="1"/>
  <c r="G7" i="5" s="1"/>
  <c r="G8" i="5" s="1"/>
  <c r="G9" i="5" s="1"/>
  <c r="G10" i="5" s="1"/>
  <c r="G11" i="5" s="1"/>
  <c r="G12" i="5" s="1"/>
  <c r="G13" i="5" s="1"/>
  <c r="G14" i="5" s="1"/>
  <c r="H4" i="7"/>
  <c r="I4" i="7" s="1"/>
  <c r="B18" i="7"/>
  <c r="B17" i="7"/>
  <c r="B16" i="7"/>
  <c r="E17" i="7"/>
  <c r="O6" i="4"/>
  <c r="K6" i="4"/>
  <c r="I6" i="4"/>
  <c r="B5" i="4"/>
  <c r="C5" i="4"/>
  <c r="D5" i="4"/>
  <c r="E5" i="4"/>
  <c r="F5" i="4"/>
  <c r="P5" i="4" s="1"/>
  <c r="C8" i="2" s="1"/>
  <c r="G5" i="4"/>
  <c r="H5" i="4"/>
  <c r="B6" i="4"/>
  <c r="C6" i="4"/>
  <c r="D6" i="4"/>
  <c r="E6" i="4"/>
  <c r="F6" i="4"/>
  <c r="G6" i="4"/>
  <c r="H6" i="4"/>
  <c r="J5" i="4"/>
  <c r="K5" i="4"/>
  <c r="L5" i="4"/>
  <c r="M5" i="4"/>
  <c r="N5" i="4"/>
  <c r="I5" i="4"/>
  <c r="J6" i="4"/>
  <c r="L6" i="4"/>
  <c r="M6" i="4"/>
  <c r="N6" i="4"/>
  <c r="D12" i="1"/>
  <c r="E11" i="1" s="1"/>
  <c r="H4" i="1" s="1"/>
  <c r="E8" i="1"/>
  <c r="E5" i="1"/>
  <c r="E6" i="1"/>
  <c r="E7" i="1"/>
  <c r="E10" i="1"/>
  <c r="M6" i="12" l="1"/>
  <c r="N6" i="12" s="1"/>
  <c r="D5" i="6"/>
  <c r="C20" i="2" s="1"/>
  <c r="B21" i="5" s="1"/>
  <c r="F7" i="9"/>
  <c r="F8" i="9"/>
  <c r="F9" i="9"/>
  <c r="F5" i="9"/>
  <c r="F6" i="9"/>
  <c r="F10" i="9"/>
  <c r="J14" i="5"/>
  <c r="G15" i="5"/>
  <c r="H14" i="5"/>
  <c r="H5" i="7"/>
  <c r="I5" i="7"/>
  <c r="G6" i="7"/>
  <c r="E4" i="1"/>
  <c r="H5" i="1" s="1"/>
  <c r="E9" i="1"/>
  <c r="H6" i="1" s="1"/>
  <c r="H7" i="1" s="1"/>
  <c r="H10" i="5"/>
  <c r="E12" i="1"/>
  <c r="L8" i="12"/>
  <c r="M7" i="12"/>
  <c r="C11" i="2"/>
  <c r="H8" i="12"/>
  <c r="O8" i="12" s="1"/>
  <c r="H6" i="5"/>
  <c r="H11" i="5"/>
  <c r="D4" i="6"/>
  <c r="C19" i="2" s="1"/>
  <c r="B20" i="5" s="1"/>
  <c r="K14" i="5"/>
  <c r="J5" i="5"/>
  <c r="K5" i="5" s="1"/>
  <c r="J13" i="5"/>
  <c r="J11" i="5"/>
  <c r="K11" i="5" s="1"/>
  <c r="J10" i="5"/>
  <c r="K10" i="5" s="1"/>
  <c r="J9" i="5"/>
  <c r="K9" i="5" s="1"/>
  <c r="J4" i="5"/>
  <c r="J12" i="5"/>
  <c r="K12" i="5" s="1"/>
  <c r="J8" i="5"/>
  <c r="K8" i="5" s="1"/>
  <c r="J7" i="5"/>
  <c r="K7" i="5" s="1"/>
  <c r="J6" i="5"/>
  <c r="H12" i="5"/>
  <c r="H4" i="5"/>
  <c r="H13" i="5"/>
  <c r="H5" i="5"/>
  <c r="D21" i="1"/>
  <c r="C15" i="2" s="1"/>
  <c r="B6" i="12" s="1"/>
  <c r="H7" i="5"/>
  <c r="H8" i="5"/>
  <c r="H9" i="5"/>
  <c r="N7" i="12" l="1"/>
  <c r="K6" i="5"/>
  <c r="K4" i="5"/>
  <c r="K13" i="5"/>
  <c r="G7" i="7"/>
  <c r="H6" i="7"/>
  <c r="I6" i="7" s="1"/>
  <c r="H15" i="5"/>
  <c r="J15" i="5"/>
  <c r="K15" i="5" s="1"/>
  <c r="G16" i="5"/>
  <c r="C21" i="1"/>
  <c r="P8" i="12"/>
  <c r="P7" i="12"/>
  <c r="P6" i="12"/>
  <c r="Q6" i="12" s="1"/>
  <c r="P4" i="12"/>
  <c r="Q4" i="12" s="1"/>
  <c r="P5" i="12"/>
  <c r="Q5" i="12" s="1"/>
  <c r="L9" i="12"/>
  <c r="M8" i="12"/>
  <c r="N8" i="12" s="1"/>
  <c r="I13" i="5"/>
  <c r="H9" i="12"/>
  <c r="O9" i="12" s="1"/>
  <c r="I7" i="5"/>
  <c r="I8" i="5"/>
  <c r="I10" i="5"/>
  <c r="I9" i="5"/>
  <c r="I14" i="5"/>
  <c r="I15" i="5"/>
  <c r="I12" i="5"/>
  <c r="I5" i="5"/>
  <c r="I6" i="5"/>
  <c r="I11" i="5"/>
  <c r="B19" i="7"/>
  <c r="I4" i="5"/>
  <c r="Q7" i="12" l="1"/>
  <c r="H16" i="5"/>
  <c r="J16" i="5"/>
  <c r="K16" i="5" s="1"/>
  <c r="G17" i="5"/>
  <c r="G8" i="7"/>
  <c r="H7" i="7"/>
  <c r="I7" i="7"/>
  <c r="J7" i="7" s="1"/>
  <c r="Q8" i="12"/>
  <c r="P9" i="12"/>
  <c r="L10" i="12"/>
  <c r="M9" i="12"/>
  <c r="N9" i="12" s="1"/>
  <c r="H10" i="12"/>
  <c r="J6" i="7"/>
  <c r="J5" i="7"/>
  <c r="J4" i="7"/>
  <c r="I16" i="5" l="1"/>
  <c r="H8" i="7"/>
  <c r="I8" i="7"/>
  <c r="J8" i="7" s="1"/>
  <c r="G9" i="7"/>
  <c r="J17" i="5"/>
  <c r="K17" i="5" s="1"/>
  <c r="G18" i="5"/>
  <c r="H17" i="5"/>
  <c r="I17" i="5" s="1"/>
  <c r="Q9" i="12"/>
  <c r="O10" i="12"/>
  <c r="P10" i="12"/>
  <c r="L11" i="12"/>
  <c r="M10" i="12"/>
  <c r="N10" i="12" s="1"/>
  <c r="H11" i="12"/>
  <c r="B11" i="7"/>
  <c r="B12" i="7" s="1"/>
  <c r="J18" i="5" l="1"/>
  <c r="K18" i="5" s="1"/>
  <c r="G19" i="5"/>
  <c r="H18" i="5"/>
  <c r="I18" i="5" s="1"/>
  <c r="H9" i="7"/>
  <c r="I9" i="7"/>
  <c r="J9" i="7" s="1"/>
  <c r="G10" i="7"/>
  <c r="Q10" i="12"/>
  <c r="O11" i="12"/>
  <c r="P11" i="12"/>
  <c r="M11" i="12"/>
  <c r="N11" i="12" s="1"/>
  <c r="L12" i="12"/>
  <c r="H12" i="12"/>
  <c r="I10" i="7" l="1"/>
  <c r="J10" i="7" s="1"/>
  <c r="G11" i="7"/>
  <c r="H10" i="7"/>
  <c r="H19" i="5"/>
  <c r="I19" i="5" s="1"/>
  <c r="J19" i="5"/>
  <c r="K19" i="5" s="1"/>
  <c r="G20" i="5"/>
  <c r="Q11" i="12"/>
  <c r="O12" i="12"/>
  <c r="P12" i="12"/>
  <c r="L13" i="12"/>
  <c r="M12" i="12"/>
  <c r="N12" i="12" s="1"/>
  <c r="H13" i="12"/>
  <c r="H20" i="5" l="1"/>
  <c r="I20" i="5" s="1"/>
  <c r="J20" i="5"/>
  <c r="K20" i="5" s="1"/>
  <c r="G21" i="5"/>
  <c r="G12" i="7"/>
  <c r="H11" i="7"/>
  <c r="I11" i="7" s="1"/>
  <c r="J11" i="7" s="1"/>
  <c r="Q12" i="12"/>
  <c r="O13" i="12"/>
  <c r="P13" i="12"/>
  <c r="L14" i="12"/>
  <c r="M13" i="12"/>
  <c r="N13" i="12" s="1"/>
  <c r="H14" i="12"/>
  <c r="J21" i="5" l="1"/>
  <c r="K21" i="5" s="1"/>
  <c r="G22" i="5"/>
  <c r="H21" i="5"/>
  <c r="H12" i="7"/>
  <c r="I12" i="7"/>
  <c r="J12" i="7" s="1"/>
  <c r="G13" i="7"/>
  <c r="Q13" i="12"/>
  <c r="O14" i="12"/>
  <c r="P14" i="12"/>
  <c r="L15" i="12"/>
  <c r="M14" i="12"/>
  <c r="N14" i="12" s="1"/>
  <c r="H15" i="12"/>
  <c r="I21" i="5" l="1"/>
  <c r="H13" i="7"/>
  <c r="I13" i="7" s="1"/>
  <c r="J13" i="7" s="1"/>
  <c r="G14" i="7"/>
  <c r="J22" i="5"/>
  <c r="K22" i="5" s="1"/>
  <c r="G23" i="5"/>
  <c r="H22" i="5"/>
  <c r="I22" i="5" s="1"/>
  <c r="Q14" i="12"/>
  <c r="O15" i="12"/>
  <c r="P15" i="12"/>
  <c r="L16" i="12"/>
  <c r="M15" i="12"/>
  <c r="N15" i="12" s="1"/>
  <c r="H16" i="12"/>
  <c r="H23" i="5" l="1"/>
  <c r="I23" i="5" s="1"/>
  <c r="J23" i="5"/>
  <c r="K23" i="5" s="1"/>
  <c r="G24" i="5"/>
  <c r="G15" i="7"/>
  <c r="H14" i="7"/>
  <c r="I14" i="7" s="1"/>
  <c r="J14" i="7" s="1"/>
  <c r="Q15" i="12"/>
  <c r="O16" i="12"/>
  <c r="P16" i="12"/>
  <c r="L17" i="12"/>
  <c r="M16" i="12"/>
  <c r="N16" i="12" s="1"/>
  <c r="H17" i="12"/>
  <c r="H24" i="5" l="1"/>
  <c r="I24" i="5" s="1"/>
  <c r="J24" i="5"/>
  <c r="K24" i="5" s="1"/>
  <c r="B11" i="5" s="1"/>
  <c r="B12" i="5" s="1"/>
  <c r="G25" i="5"/>
  <c r="G16" i="7"/>
  <c r="H15" i="7"/>
  <c r="I15" i="7"/>
  <c r="J15" i="7" s="1"/>
  <c r="Q16" i="12"/>
  <c r="O17" i="12"/>
  <c r="P17" i="12"/>
  <c r="L18" i="12"/>
  <c r="M17" i="12"/>
  <c r="N17" i="12" s="1"/>
  <c r="H18" i="12"/>
  <c r="H16" i="7" l="1"/>
  <c r="I16" i="7"/>
  <c r="J16" i="7" s="1"/>
  <c r="G17" i="7"/>
  <c r="J25" i="5"/>
  <c r="K25" i="5" s="1"/>
  <c r="G26" i="5"/>
  <c r="H25" i="5"/>
  <c r="I25" i="5" s="1"/>
  <c r="Q17" i="12"/>
  <c r="O18" i="12"/>
  <c r="P18" i="12"/>
  <c r="L19" i="12"/>
  <c r="M18" i="12"/>
  <c r="N18" i="12" s="1"/>
  <c r="H19" i="12"/>
  <c r="H17" i="7" l="1"/>
  <c r="I17" i="7"/>
  <c r="J17" i="7" s="1"/>
  <c r="G18" i="7"/>
  <c r="J26" i="5"/>
  <c r="K26" i="5" s="1"/>
  <c r="G27" i="5"/>
  <c r="H26" i="5"/>
  <c r="I26" i="5" s="1"/>
  <c r="Q18" i="12"/>
  <c r="O19" i="12"/>
  <c r="P19" i="12"/>
  <c r="L20" i="12"/>
  <c r="M19" i="12"/>
  <c r="N19" i="12" s="1"/>
  <c r="H20" i="12"/>
  <c r="G19" i="7" l="1"/>
  <c r="H18" i="7"/>
  <c r="I18" i="7" s="1"/>
  <c r="J18" i="7" s="1"/>
  <c r="H27" i="5"/>
  <c r="I27" i="5" s="1"/>
  <c r="J27" i="5"/>
  <c r="K27" i="5" s="1"/>
  <c r="G28" i="5"/>
  <c r="Q19" i="12"/>
  <c r="O20" i="12"/>
  <c r="P20" i="12"/>
  <c r="L21" i="12"/>
  <c r="M20" i="12"/>
  <c r="N20" i="12" s="1"/>
  <c r="H21" i="12"/>
  <c r="H28" i="5" l="1"/>
  <c r="I28" i="5" s="1"/>
  <c r="J28" i="5"/>
  <c r="K28" i="5" s="1"/>
  <c r="G29" i="5"/>
  <c r="G20" i="7"/>
  <c r="H19" i="7"/>
  <c r="I19" i="7"/>
  <c r="J19" i="7" s="1"/>
  <c r="Q20" i="12"/>
  <c r="O21" i="12"/>
  <c r="P21" i="12"/>
  <c r="L22" i="12"/>
  <c r="M21" i="12"/>
  <c r="N21" i="12" s="1"/>
  <c r="H22" i="12"/>
  <c r="H20" i="7" l="1"/>
  <c r="I20" i="7"/>
  <c r="J20" i="7" s="1"/>
  <c r="G21" i="7"/>
  <c r="J29" i="5"/>
  <c r="K29" i="5" s="1"/>
  <c r="H29" i="5"/>
  <c r="Q21" i="12"/>
  <c r="O22" i="12"/>
  <c r="P22" i="12"/>
  <c r="L23" i="12"/>
  <c r="M22" i="12"/>
  <c r="N22" i="12" s="1"/>
  <c r="H23" i="12"/>
  <c r="I29" i="5" l="1"/>
  <c r="B13" i="5"/>
  <c r="H21" i="7"/>
  <c r="I21" i="7" s="1"/>
  <c r="J21" i="7" s="1"/>
  <c r="G22" i="7"/>
  <c r="Q22" i="12"/>
  <c r="O23" i="12"/>
  <c r="P23" i="12"/>
  <c r="L24" i="12"/>
  <c r="M23" i="12"/>
  <c r="N23" i="12" s="1"/>
  <c r="H24" i="12"/>
  <c r="G23" i="7" l="1"/>
  <c r="H22" i="7"/>
  <c r="I22" i="7" s="1"/>
  <c r="J22" i="7" s="1"/>
  <c r="Q23" i="12"/>
  <c r="O24" i="12"/>
  <c r="P24" i="12"/>
  <c r="L25" i="12"/>
  <c r="M24" i="12"/>
  <c r="N24" i="12" s="1"/>
  <c r="H25" i="12"/>
  <c r="G24" i="7" l="1"/>
  <c r="H23" i="7"/>
  <c r="I23" i="7"/>
  <c r="J23" i="7" s="1"/>
  <c r="Q24" i="12"/>
  <c r="O25" i="12"/>
  <c r="P25" i="12"/>
  <c r="L26" i="12"/>
  <c r="M25" i="12"/>
  <c r="N25" i="12" s="1"/>
  <c r="H26" i="12"/>
  <c r="H24" i="7" l="1"/>
  <c r="I24" i="7"/>
  <c r="J24" i="7" s="1"/>
  <c r="G25" i="7"/>
  <c r="Q25" i="12"/>
  <c r="O26" i="12"/>
  <c r="P26" i="12"/>
  <c r="L27" i="12"/>
  <c r="M26" i="12"/>
  <c r="N26" i="12" s="1"/>
  <c r="H27" i="12"/>
  <c r="H25" i="7" l="1"/>
  <c r="I25" i="7"/>
  <c r="J25" i="7" s="1"/>
  <c r="G26" i="7"/>
  <c r="Q26" i="12"/>
  <c r="O27" i="12"/>
  <c r="P27" i="12"/>
  <c r="L28" i="12"/>
  <c r="M27" i="12"/>
  <c r="N27" i="12" s="1"/>
  <c r="H28" i="12"/>
  <c r="G27" i="7" l="1"/>
  <c r="H26" i="7"/>
  <c r="I26" i="7" s="1"/>
  <c r="J26" i="7" s="1"/>
  <c r="Q27" i="12"/>
  <c r="O28" i="12"/>
  <c r="P28" i="12"/>
  <c r="L29" i="12"/>
  <c r="M28" i="12"/>
  <c r="N28" i="12" s="1"/>
  <c r="H29" i="12"/>
  <c r="G28" i="7" l="1"/>
  <c r="H27" i="7"/>
  <c r="I27" i="7"/>
  <c r="J27" i="7" s="1"/>
  <c r="Q28" i="12"/>
  <c r="M29" i="12"/>
  <c r="N29" i="12" s="1"/>
  <c r="L30" i="12"/>
  <c r="P29" i="12"/>
  <c r="H30" i="12"/>
  <c r="O29" i="12"/>
  <c r="H28" i="7" l="1"/>
  <c r="I28" i="7"/>
  <c r="J28" i="7" s="1"/>
  <c r="G29" i="7"/>
  <c r="M30" i="12"/>
  <c r="N30" i="12" s="1"/>
  <c r="L31" i="12"/>
  <c r="O30" i="12"/>
  <c r="H31" i="12"/>
  <c r="H32" i="12" s="1"/>
  <c r="P30" i="12"/>
  <c r="Q29" i="12"/>
  <c r="B17" i="11" s="1"/>
  <c r="H29" i="7" l="1"/>
  <c r="I29" i="7"/>
  <c r="J29" i="7" s="1"/>
  <c r="H33" i="12"/>
  <c r="O32" i="12"/>
  <c r="P32" i="12"/>
  <c r="M31" i="12"/>
  <c r="N31" i="12" s="1"/>
  <c r="L32" i="12"/>
  <c r="B18" i="11"/>
  <c r="Q30" i="12"/>
  <c r="O31" i="12"/>
  <c r="P31" i="12"/>
  <c r="H34" i="12" l="1"/>
  <c r="O33" i="12"/>
  <c r="P33" i="12"/>
  <c r="M32" i="12"/>
  <c r="N32" i="12" s="1"/>
  <c r="L33" i="12"/>
  <c r="Q31" i="12"/>
  <c r="O34" i="12" l="1"/>
  <c r="H35" i="12"/>
  <c r="P34" i="12"/>
  <c r="Q32" i="12"/>
  <c r="M33" i="12"/>
  <c r="N33" i="12" s="1"/>
  <c r="L34" i="12"/>
  <c r="H36" i="12" l="1"/>
  <c r="O35" i="12"/>
  <c r="P35" i="12"/>
  <c r="Q33" i="12"/>
  <c r="M34" i="12"/>
  <c r="N34" i="12" s="1"/>
  <c r="L35" i="12"/>
  <c r="O36" i="12" l="1"/>
  <c r="P36" i="12"/>
  <c r="Q34" i="12"/>
  <c r="M35" i="12"/>
  <c r="N35" i="12" s="1"/>
  <c r="L36" i="12"/>
  <c r="M36" i="12" s="1"/>
  <c r="Q35" i="12" l="1"/>
  <c r="N36" i="12"/>
  <c r="Q36" i="12" s="1"/>
</calcChain>
</file>

<file path=xl/sharedStrings.xml><?xml version="1.0" encoding="utf-8"?>
<sst xmlns="http://schemas.openxmlformats.org/spreadsheetml/2006/main" count="200" uniqueCount="149">
  <si>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</si>
  <si>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</si>
  <si>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</si>
  <si>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</si>
  <si>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</si>
  <si>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</si>
  <si>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</si>
  <si>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</si>
  <si>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</si>
  <si>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</si>
  <si>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</si>
  <si>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</si>
  <si>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</si>
  <si>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</si>
  <si>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</si>
  <si>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</si>
  <si>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</si>
  <si>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</si>
  <si>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</si>
  <si>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</si>
  <si>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</si>
  <si>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</si>
  <si>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</si>
  <si>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</si>
  <si>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</si>
  <si>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</si>
  <si>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</si>
  <si>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</si>
  <si>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VHT nobuild</t>
  </si>
  <si>
    <t>VHT build</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</si>
  <si>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</si>
  <si>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</si>
  <si>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</si>
  <si>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</si>
  <si>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</si>
  <si>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</si>
  <si>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</si>
  <si>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</si>
  <si>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</si>
  <si>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</si>
  <si>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</si>
  <si>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</si>
  <si>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</si>
  <si>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</si>
  <si>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</si>
  <si>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</si>
  <si>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</si>
  <si>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</si>
  <si>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</si>
  <si>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</si>
  <si>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</si>
  <si>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</si>
  <si>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</si>
  <si>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</si>
  <si>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</si>
  <si>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</si>
  <si>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</si>
  <si>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</si>
  <si>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</si>
  <si>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</si>
  <si>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</si>
  <si>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</si>
  <si>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</si>
  <si>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</si>
  <si>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</si>
  <si>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</si>
  <si>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</si>
  <si>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</si>
  <si>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</si>
  <si>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</si>
  <si>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</si>
  <si>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</si>
  <si>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</si>
  <si>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</si>
  <si>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</si>
  <si>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</si>
  <si>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</si>
  <si>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</si>
  <si>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</si>
  <si>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</si>
  <si>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</si>
  <si>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</si>
  <si>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</si>
  <si>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</si>
  <si>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</si>
  <si>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</si>
  <si>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</si>
  <si>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</si>
  <si>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</si>
  <si>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</si>
  <si>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</si>
  <si>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</si>
  <si>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</si>
  <si>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Discounted Delay Benefits @ 7% (2015 $, '000s)</t>
  </si>
  <si>
    <t>Discounted Delay Benefits @ 3% (2015 $, '000s)</t>
  </si>
  <si>
    <t>2040 V/C Ratio</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</si>
  <si>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</si>
  <si>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</si>
  <si>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</si>
  <si>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</si>
  <si>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</si>
  <si>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</si>
  <si>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</si>
  <si>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</si>
  <si>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</si>
  <si>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</si>
  <si>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</si>
  <si>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</si>
  <si>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</si>
  <si>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</si>
  <si>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</si>
  <si>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</si>
  <si>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</si>
  <si>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</si>
  <si>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</si>
  <si>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</si>
  <si>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</si>
  <si>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</si>
  <si>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</si>
  <si>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2025 V/C Ratio</t>
  </si>
  <si>
    <t>2018 V/C Ratio</t>
  </si>
  <si>
    <t>2018 VHT (Annual)</t>
  </si>
  <si>
    <t>2018-2025 Demand Growth</t>
  </si>
  <si>
    <t>2025-2040 Demand Growth</t>
  </si>
  <si>
    <t>Application ID Number:</t>
  </si>
  <si>
    <t>Sponsor ID Number (CSJ, etc.):</t>
  </si>
  <si>
    <t>Daily Travel Demand</t>
  </si>
  <si>
    <t>2018-2040 Demand Growth</t>
  </si>
  <si>
    <t>2018-2025 V/C Growth</t>
  </si>
  <si>
    <t>2025-2040 V/C Growth</t>
  </si>
  <si>
    <t>2018-2040 V/C Growth</t>
  </si>
  <si>
    <t>Use in Analysis?</t>
  </si>
  <si>
    <t>Demand Growth</t>
  </si>
  <si>
    <t>2018 Volume</t>
  </si>
  <si>
    <t>2018 Capacity</t>
  </si>
  <si>
    <t>2018 VHT</t>
  </si>
  <si>
    <t>Benefit Cap</t>
  </si>
  <si>
    <t>Real wage growth rate</t>
  </si>
  <si>
    <t>Value of Time (Real, 2015$)</t>
  </si>
  <si>
    <t>n/a</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</si>
  <si>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</si>
  <si>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</si>
  <si>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</si>
  <si>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</si>
  <si>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</si>
  <si>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</si>
  <si>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</si>
  <si>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</si>
  <si>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r>
      <t xml:space="preserve">Year Open to Traffic? </t>
    </r>
    <r>
      <rPr>
        <b/>
        <sz val="11"/>
        <color theme="1"/>
        <rFont val="Calibri"/>
        <family val="2"/>
        <scheme val="minor"/>
      </rPr>
      <t>(Must be &gt;=2018)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</si>
</sst>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mediumGray">
        <bgColor theme="4" tint="0.79998168889431442"/>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mediumGray">
        <fgColor auto="1"/>
        <bgColor theme="0" tint="-0.14999847407452621"/>
      </patternFill>
    </fill>
    <fill>
      <patternFill patternType="solid">
        <fgColor theme="5" tint="0.59999389629810485"/>
        <bgColor theme="8" tint="0.79998168889431442"/>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08">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6" borderId="1" xfId="0" applyFill="1" applyBorder="1"/>
    <xf numFmtId="0" fontId="2" fillId="7" borderId="1" xfId="0" applyFont="1" applyFill="1" applyBorder="1"/>
    <xf numFmtId="0" fontId="0" fillId="8" borderId="1" xfId="0" applyFont="1" applyFill="1" applyBorder="1" applyAlignment="1">
      <alignment horizontal="center"/>
    </xf>
    <xf numFmtId="0" fontId="0" fillId="10" borderId="1" xfId="0" applyFont="1" applyFill="1" applyBorder="1" applyAlignment="1">
      <alignment horizontal="center"/>
    </xf>
    <xf numFmtId="0" fontId="2" fillId="11" borderId="1" xfId="0" applyFont="1" applyFill="1" applyBorder="1" applyAlignment="1">
      <alignment horizontal="center"/>
    </xf>
    <xf numFmtId="0" fontId="2" fillId="11" borderId="1" xfId="0" applyFont="1" applyFill="1" applyBorder="1" applyAlignment="1">
      <alignment horizontal="left"/>
    </xf>
    <xf numFmtId="0" fontId="0" fillId="13" borderId="1" xfId="0" applyFill="1" applyBorder="1"/>
    <xf numFmtId="9" fontId="0" fillId="13" borderId="1" xfId="0" applyNumberFormat="1" applyFill="1" applyBorder="1"/>
    <xf numFmtId="165" fontId="0" fillId="13" borderId="1" xfId="0" applyNumberFormat="1" applyFill="1" applyBorder="1"/>
    <xf numFmtId="0" fontId="0" fillId="13" borderId="2" xfId="0" applyFill="1" applyBorder="1"/>
    <xf numFmtId="3" fontId="0" fillId="13" borderId="3" xfId="0" applyNumberFormat="1" applyFill="1" applyBorder="1"/>
    <xf numFmtId="2" fontId="0" fillId="13" borderId="1" xfId="0" applyNumberFormat="1" applyFill="1" applyBorder="1"/>
    <xf numFmtId="3" fontId="0" fillId="15" borderId="1" xfId="0" applyNumberFormat="1" applyFont="1" applyFill="1" applyBorder="1" applyAlignment="1" applyProtection="1">
      <alignment horizontal="center"/>
      <protection locked="0"/>
    </xf>
    <xf numFmtId="3" fontId="0" fillId="16"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1" borderId="1" xfId="0" applyFont="1" applyFill="1" applyBorder="1" applyAlignment="1">
      <alignment horizontal="center"/>
    </xf>
    <xf numFmtId="0" fontId="0" fillId="5" borderId="4" xfId="0" applyFill="1" applyBorder="1"/>
    <xf numFmtId="0" fontId="0" fillId="14" borderId="4" xfId="0" applyFill="1" applyBorder="1"/>
    <xf numFmtId="0" fontId="0" fillId="17" borderId="4" xfId="0" applyFont="1" applyFill="1" applyBorder="1" applyAlignment="1">
      <alignment horizontal="center"/>
    </xf>
    <xf numFmtId="0" fontId="0" fillId="0" borderId="0" xfId="0" applyAlignment="1">
      <alignment vertical="top"/>
    </xf>
    <xf numFmtId="0" fontId="0" fillId="13"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2" borderId="1" xfId="0" applyFont="1" applyFill="1" applyBorder="1"/>
    <xf numFmtId="169" fontId="0" fillId="13" borderId="3" xfId="0" applyNumberFormat="1" applyFill="1" applyBorder="1"/>
    <xf numFmtId="165" fontId="0" fillId="8" borderId="1" xfId="2" applyNumberFormat="1" applyFont="1" applyFill="1" applyBorder="1" applyAlignment="1">
      <alignment horizontal="center"/>
    </xf>
    <xf numFmtId="166" fontId="0" fillId="13" borderId="1" xfId="0" applyNumberFormat="1" applyFill="1" applyBorder="1"/>
    <xf numFmtId="165" fontId="0" fillId="8" borderId="1" xfId="2" applyNumberFormat="1" applyFont="1" applyFill="1" applyBorder="1" applyAlignment="1" applyProtection="1">
      <alignment horizontal="center"/>
    </xf>
    <xf numFmtId="168" fontId="0" fillId="15" borderId="1" xfId="0" applyNumberFormat="1" applyFont="1" applyFill="1" applyBorder="1" applyAlignment="1" applyProtection="1">
      <alignment horizontal="center"/>
      <protection locked="0"/>
    </xf>
    <xf numFmtId="165" fontId="0" fillId="9" borderId="1" xfId="2" applyNumberFormat="1" applyFont="1" applyFill="1" applyBorder="1" applyAlignment="1" applyProtection="1">
      <alignment horizontal="center"/>
    </xf>
    <xf numFmtId="165" fontId="0" fillId="6" borderId="1" xfId="0" applyNumberFormat="1" applyFill="1" applyBorder="1"/>
    <xf numFmtId="2" fontId="0" fillId="6" borderId="1" xfId="0" applyNumberFormat="1" applyFill="1" applyBorder="1"/>
    <xf numFmtId="165" fontId="0" fillId="10" borderId="1" xfId="2" applyNumberFormat="1" applyFont="1" applyFill="1" applyBorder="1" applyAlignment="1">
      <alignment horizontal="center"/>
    </xf>
    <xf numFmtId="10" fontId="0" fillId="13" borderId="1" xfId="3" applyNumberFormat="1" applyFont="1" applyFill="1" applyBorder="1"/>
    <xf numFmtId="166" fontId="0" fillId="6" borderId="1" xfId="0" applyNumberFormat="1" applyFill="1" applyBorder="1"/>
    <xf numFmtId="168" fontId="0" fillId="13"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5"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0" fontId="2" fillId="11" borderId="1" xfId="3" applyNumberFormat="1" applyFont="1" applyFill="1" applyBorder="1" applyAlignment="1">
      <alignment horizontal="center"/>
    </xf>
    <xf numFmtId="10" fontId="0" fillId="10" borderId="1" xfId="3" applyNumberFormat="1" applyFont="1" applyFill="1" applyBorder="1" applyAlignment="1">
      <alignment horizontal="center"/>
    </xf>
    <xf numFmtId="2" fontId="2" fillId="11" borderId="1" xfId="0" applyNumberFormat="1" applyFont="1" applyFill="1" applyBorder="1" applyAlignment="1">
      <alignment horizontal="center"/>
    </xf>
    <xf numFmtId="2" fontId="0" fillId="10" borderId="1" xfId="3" applyNumberFormat="1" applyFont="1" applyFill="1" applyBorder="1" applyAlignment="1">
      <alignment horizontal="center"/>
    </xf>
    <xf numFmtId="2" fontId="0" fillId="0" borderId="0" xfId="0" applyNumberFormat="1"/>
    <xf numFmtId="0" fontId="2" fillId="11" borderId="1" xfId="0" applyNumberFormat="1" applyFont="1" applyFill="1" applyBorder="1" applyAlignment="1">
      <alignment horizontal="center"/>
    </xf>
    <xf numFmtId="0" fontId="0" fillId="10" borderId="1" xfId="3" applyNumberFormat="1" applyFont="1" applyFill="1" applyBorder="1" applyAlignment="1">
      <alignment horizontal="center"/>
    </xf>
    <xf numFmtId="0" fontId="0" fillId="0" borderId="0" xfId="0" applyNumberFormat="1"/>
    <xf numFmtId="170" fontId="0" fillId="13" borderId="1" xfId="3" applyNumberFormat="1" applyFont="1" applyFill="1" applyBorder="1"/>
    <xf numFmtId="165" fontId="0" fillId="18" borderId="1" xfId="2" applyNumberFormat="1" applyFont="1" applyFill="1" applyBorder="1" applyAlignment="1">
      <alignment horizontal="center"/>
    </xf>
    <xf numFmtId="0" fontId="0" fillId="9" borderId="1" xfId="0" applyFont="1" applyFill="1" applyBorder="1" applyAlignment="1">
      <alignment horizontal="center"/>
    </xf>
    <xf numFmtId="3" fontId="0" fillId="9" borderId="1" xfId="0" applyNumberFormat="1" applyFont="1" applyFill="1" applyBorder="1" applyAlignment="1">
      <alignment horizontal="center"/>
    </xf>
    <xf numFmtId="10" fontId="0" fillId="9" borderId="1" xfId="3" applyNumberFormat="1" applyFont="1" applyFill="1" applyBorder="1" applyAlignment="1">
      <alignment horizontal="center"/>
    </xf>
    <xf numFmtId="2" fontId="0" fillId="9" borderId="1" xfId="0" applyNumberFormat="1" applyFont="1" applyFill="1" applyBorder="1" applyAlignment="1">
      <alignment horizontal="center"/>
    </xf>
    <xf numFmtId="0" fontId="0" fillId="9"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6" xfId="0" applyFont="1" applyBorder="1"/>
    <xf numFmtId="0" fontId="0" fillId="0" borderId="6" xfId="0" applyBorder="1"/>
    <xf numFmtId="3" fontId="0" fillId="9" borderId="1" xfId="0" applyNumberFormat="1" applyFont="1" applyFill="1" applyBorder="1" applyAlignment="1" applyProtection="1">
      <alignment horizontal="center"/>
    </xf>
    <xf numFmtId="165" fontId="0" fillId="9" borderId="1" xfId="0" applyNumberFormat="1" applyFont="1" applyFill="1" applyBorder="1" applyAlignment="1" applyProtection="1">
      <alignment horizontal="center"/>
    </xf>
    <xf numFmtId="0" fontId="7" fillId="19" borderId="1" xfId="0" applyFont="1" applyFill="1" applyBorder="1"/>
    <xf numFmtId="3" fontId="7" fillId="19" borderId="1" xfId="0" applyNumberFormat="1" applyFont="1" applyFill="1" applyBorder="1" applyProtection="1">
      <protection locked="0"/>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156882</xdr:rowOff>
    </xdr:to>
    <xdr:sp macro="" textlink="">
      <xdr:nvSpPr>
        <xdr:cNvPr id="2" name="TextBox 1"/>
        <xdr:cNvSpPr txBox="1"/>
      </xdr:nvSpPr>
      <xdr:spPr>
        <a:xfrm>
          <a:off x="100854" y="123265"/>
          <a:ext cx="6649472"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While optional, please provide 2025 volume/capacity if available.</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on the "Calculations" tab.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zoomScale="130" zoomScaleNormal="130" workbookViewId="0">
      <selection activeCell="A14" sqref="A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7"/>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42</v>
      </c>
      <c r="B2" s="42"/>
      <c r="C2" s="42"/>
      <c r="D2" s="42"/>
      <c r="E2" s="42"/>
      <c r="F2" s="42"/>
      <c r="G2" s="42"/>
      <c r="H2" s="42"/>
      <c r="I2" s="42"/>
      <c r="J2" s="42"/>
      <c r="K2" s="42"/>
      <c r="L2" s="42"/>
      <c r="M2" s="42"/>
      <c r="N2" s="42"/>
    </row>
    <row r="3" spans="1:16" x14ac:dyDescent="0.25">
      <c r="A3" s="42"/>
      <c r="B3" s="43">
        <v>2000</v>
      </c>
      <c r="C3" s="43">
        <v>2001</v>
      </c>
      <c r="D3" s="43">
        <v>2002</v>
      </c>
      <c r="E3" s="43">
        <v>2003</v>
      </c>
      <c r="F3" s="43">
        <v>2004</v>
      </c>
      <c r="G3" s="43">
        <v>2005</v>
      </c>
      <c r="H3" s="43">
        <v>2006</v>
      </c>
      <c r="I3" s="43">
        <v>2007</v>
      </c>
      <c r="J3" s="43">
        <v>2008</v>
      </c>
      <c r="K3" s="43">
        <v>2009</v>
      </c>
      <c r="L3" s="43">
        <v>2010</v>
      </c>
      <c r="M3" s="43">
        <v>2011</v>
      </c>
      <c r="N3" s="43">
        <v>2012</v>
      </c>
      <c r="O3" s="43">
        <v>2013</v>
      </c>
      <c r="P3" s="43" t="s">
        <v>85</v>
      </c>
    </row>
    <row r="4" spans="1:16" x14ac:dyDescent="0.25">
      <c r="A4" s="44" t="s">
        <v>45</v>
      </c>
      <c r="B4" s="45">
        <v>81.891000000000005</v>
      </c>
      <c r="C4" s="45">
        <v>83.766000000000005</v>
      </c>
      <c r="D4" s="45">
        <v>85.054000000000002</v>
      </c>
      <c r="E4" s="45">
        <v>86.754000000000005</v>
      </c>
      <c r="F4" s="45">
        <v>89.132000000000005</v>
      </c>
      <c r="G4" s="45">
        <v>91.991</v>
      </c>
      <c r="H4" s="45">
        <v>94.817999999999998</v>
      </c>
      <c r="I4" s="45">
        <v>97.334999999999994</v>
      </c>
      <c r="J4" s="45">
        <v>99.236000000000004</v>
      </c>
      <c r="K4" s="45">
        <v>100</v>
      </c>
      <c r="L4" s="45">
        <v>101.211</v>
      </c>
      <c r="M4" s="46">
        <v>103.199</v>
      </c>
      <c r="N4" s="46">
        <v>105.002</v>
      </c>
      <c r="O4" s="46">
        <v>106.58799999999999</v>
      </c>
      <c r="P4" s="46"/>
    </row>
    <row r="5" spans="1:16" x14ac:dyDescent="0.25">
      <c r="A5" s="44" t="s">
        <v>46</v>
      </c>
      <c r="B5" s="45">
        <f t="shared" ref="B5:H5" si="0">C4/B4</f>
        <v>1.0228962889694839</v>
      </c>
      <c r="C5" s="45">
        <f t="shared" si="0"/>
        <v>1.0153761669412411</v>
      </c>
      <c r="D5" s="45">
        <f t="shared" si="0"/>
        <v>1.0199873021844945</v>
      </c>
      <c r="E5" s="45">
        <f t="shared" si="0"/>
        <v>1.0274108398460013</v>
      </c>
      <c r="F5" s="45">
        <f t="shared" si="0"/>
        <v>1.0320760220796121</v>
      </c>
      <c r="G5" s="45">
        <f t="shared" si="0"/>
        <v>1.0307312671891815</v>
      </c>
      <c r="H5" s="45">
        <f t="shared" si="0"/>
        <v>1.0265455926089984</v>
      </c>
      <c r="I5" s="45">
        <f>J4/I4</f>
        <v>1.0195304874916526</v>
      </c>
      <c r="J5" s="45">
        <f t="shared" ref="J5:N5" si="1">K4/J4</f>
        <v>1.0076988189769842</v>
      </c>
      <c r="K5" s="45">
        <f t="shared" si="1"/>
        <v>1.0121100000000001</v>
      </c>
      <c r="L5" s="45">
        <f t="shared" si="1"/>
        <v>1.0196421337601644</v>
      </c>
      <c r="M5" s="45">
        <f t="shared" si="1"/>
        <v>1.0174710995261582</v>
      </c>
      <c r="N5" s="45">
        <f t="shared" si="1"/>
        <v>1.0151044742004913</v>
      </c>
      <c r="O5" s="45"/>
      <c r="P5" s="45">
        <f>AVERAGE(E5:N5)</f>
        <v>1.0208320735679244</v>
      </c>
    </row>
    <row r="6" spans="1:16" x14ac:dyDescent="0.25">
      <c r="A6" s="44" t="s">
        <v>47</v>
      </c>
      <c r="B6" s="45">
        <f t="shared" ref="B6:H6" si="2">$N4/B4</f>
        <v>1.2822166049993282</v>
      </c>
      <c r="C6" s="45">
        <f t="shared" si="2"/>
        <v>1.2535157462454933</v>
      </c>
      <c r="D6" s="45">
        <f t="shared" si="2"/>
        <v>1.2345333552801749</v>
      </c>
      <c r="E6" s="45">
        <f t="shared" si="2"/>
        <v>1.2103418862530833</v>
      </c>
      <c r="F6" s="45">
        <f t="shared" si="2"/>
        <v>1.178050531795539</v>
      </c>
      <c r="G6" s="45">
        <f t="shared" si="2"/>
        <v>1.1414377493450445</v>
      </c>
      <c r="H6" s="45">
        <f t="shared" si="2"/>
        <v>1.1074057668375203</v>
      </c>
      <c r="I6" s="45">
        <f>$N4/I4</f>
        <v>1.0787691991575488</v>
      </c>
      <c r="J6" s="45">
        <f t="shared" ref="J6:N6" si="3">$N4/J4</f>
        <v>1.0581039139022128</v>
      </c>
      <c r="K6" s="45">
        <f t="shared" si="3"/>
        <v>1.05002</v>
      </c>
      <c r="L6" s="45">
        <f t="shared" si="3"/>
        <v>1.0374564029601525</v>
      </c>
      <c r="M6" s="45">
        <f t="shared" si="3"/>
        <v>1.0174710995261582</v>
      </c>
      <c r="N6" s="45">
        <f t="shared" si="3"/>
        <v>1</v>
      </c>
      <c r="O6" s="45">
        <f t="shared" ref="O6" si="4">$N4/O4</f>
        <v>0.98512027620370024</v>
      </c>
      <c r="P6" s="45"/>
    </row>
    <row r="8" spans="1:16" x14ac:dyDescent="0.25">
      <c r="A8" s="47" t="s">
        <v>43</v>
      </c>
    </row>
    <row r="9" spans="1:16" x14ac:dyDescent="0.25">
      <c r="A9" s="48" t="s">
        <v>44</v>
      </c>
    </row>
  </sheetData>
  <hyperlinks>
    <hyperlink ref="A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35</v>
      </c>
      <c r="E3" s="15" t="s">
        <v>23</v>
      </c>
      <c r="G3" s="21" t="s">
        <v>27</v>
      </c>
      <c r="H3" s="21"/>
      <c r="I3" s="21" t="s">
        <v>36</v>
      </c>
      <c r="J3" s="21" t="s">
        <v>76</v>
      </c>
    </row>
    <row r="4" spans="1:10" x14ac:dyDescent="0.25">
      <c r="A4" s="12" t="s">
        <v>18</v>
      </c>
      <c r="B4" s="13"/>
      <c r="D4" s="12" t="s">
        <v>71</v>
      </c>
      <c r="E4" s="72">
        <v>2015</v>
      </c>
      <c r="G4" s="19">
        <f>E4</f>
        <v>2015</v>
      </c>
      <c r="H4" s="19">
        <f>IF(G4&lt;2041,1,0)</f>
        <v>1</v>
      </c>
      <c r="I4" s="29">
        <f>IF($G4&lt;($G$4+$E$5),$E$17,0)*H4</f>
        <v>0</v>
      </c>
      <c r="J4" s="60">
        <f>I4*$B$18*$B$19/10^3</f>
        <v>0</v>
      </c>
    </row>
    <row r="5" spans="1:10" x14ac:dyDescent="0.25">
      <c r="A5" s="12" t="s">
        <v>19</v>
      </c>
      <c r="B5" s="13"/>
      <c r="D5" s="12" t="s">
        <v>60</v>
      </c>
      <c r="E5" s="16">
        <v>10</v>
      </c>
      <c r="G5" s="20">
        <f t="shared" ref="G5:G29" si="0">G4+1</f>
        <v>2016</v>
      </c>
      <c r="H5" s="20">
        <f t="shared" ref="H5:H29" si="1">IF(G5&lt;2041,1,0)</f>
        <v>1</v>
      </c>
      <c r="I5" s="29">
        <f t="shared" ref="I5:I29" si="2">IF($G5&lt;($G$4+$E$5),$E$17,0)*H5</f>
        <v>0</v>
      </c>
      <c r="J5" s="67">
        <f t="shared" ref="J5:J24" si="3">I5*$B$18*$B$19/10^3</f>
        <v>0</v>
      </c>
    </row>
    <row r="6" spans="1:10" x14ac:dyDescent="0.25">
      <c r="A6" s="12" t="s">
        <v>20</v>
      </c>
      <c r="B6" s="13">
        <v>1</v>
      </c>
      <c r="D6" s="104" t="s">
        <v>58</v>
      </c>
      <c r="E6" s="105"/>
      <c r="G6" s="19">
        <f t="shared" si="0"/>
        <v>2017</v>
      </c>
      <c r="H6" s="19">
        <f t="shared" si="1"/>
        <v>1</v>
      </c>
      <c r="I6" s="29">
        <f t="shared" si="2"/>
        <v>0</v>
      </c>
      <c r="J6" s="60">
        <f t="shared" si="3"/>
        <v>0</v>
      </c>
    </row>
    <row r="7" spans="1:10" x14ac:dyDescent="0.25">
      <c r="A7" s="12" t="s">
        <v>74</v>
      </c>
      <c r="B7" s="32"/>
      <c r="D7" s="12" t="s">
        <v>68</v>
      </c>
      <c r="E7" s="16"/>
      <c r="G7" s="20">
        <f t="shared" si="0"/>
        <v>2018</v>
      </c>
      <c r="H7" s="20">
        <f t="shared" si="1"/>
        <v>1</v>
      </c>
      <c r="I7" s="29">
        <f t="shared" si="2"/>
        <v>0</v>
      </c>
      <c r="J7" s="67">
        <f t="shared" si="3"/>
        <v>0</v>
      </c>
    </row>
    <row r="8" spans="1:10" x14ac:dyDescent="0.25">
      <c r="A8" s="31" t="s">
        <v>75</v>
      </c>
      <c r="B8" s="32"/>
      <c r="D8" s="12" t="s">
        <v>66</v>
      </c>
      <c r="E8" s="71">
        <v>1.1499999999999999</v>
      </c>
      <c r="G8" s="19">
        <f t="shared" si="0"/>
        <v>2019</v>
      </c>
      <c r="H8" s="19">
        <f t="shared" si="1"/>
        <v>1</v>
      </c>
      <c r="I8" s="29">
        <f t="shared" si="2"/>
        <v>0</v>
      </c>
      <c r="J8" s="60">
        <f t="shared" si="3"/>
        <v>0</v>
      </c>
    </row>
    <row r="9" spans="1:10" x14ac:dyDescent="0.25">
      <c r="G9" s="20">
        <f t="shared" si="0"/>
        <v>2020</v>
      </c>
      <c r="H9" s="20">
        <f t="shared" si="1"/>
        <v>1</v>
      </c>
      <c r="I9" s="29">
        <f t="shared" si="2"/>
        <v>0</v>
      </c>
      <c r="J9" s="67">
        <f t="shared" si="3"/>
        <v>0</v>
      </c>
    </row>
    <row r="10" spans="1:10" x14ac:dyDescent="0.25">
      <c r="A10" s="18" t="s">
        <v>34</v>
      </c>
      <c r="G10" s="19">
        <f t="shared" si="0"/>
        <v>2021</v>
      </c>
      <c r="H10" s="19">
        <f t="shared" si="1"/>
        <v>1</v>
      </c>
      <c r="I10" s="29">
        <f t="shared" si="2"/>
        <v>0</v>
      </c>
      <c r="J10" s="60">
        <f t="shared" si="3"/>
        <v>0</v>
      </c>
    </row>
    <row r="11" spans="1:10" x14ac:dyDescent="0.25">
      <c r="A11" s="17" t="s">
        <v>70</v>
      </c>
      <c r="B11" s="69" t="e">
        <f>NPV($B$17,J4:J29)/(1+$B$17)^(E4-B16+1)</f>
        <v>#VALUE!</v>
      </c>
      <c r="G11" s="20">
        <f t="shared" si="0"/>
        <v>2022</v>
      </c>
      <c r="H11" s="20">
        <f t="shared" si="1"/>
        <v>1</v>
      </c>
      <c r="I11" s="29">
        <f t="shared" si="2"/>
        <v>0</v>
      </c>
      <c r="J11" s="67">
        <f t="shared" si="3"/>
        <v>0</v>
      </c>
    </row>
    <row r="12" spans="1:10" x14ac:dyDescent="0.25">
      <c r="A12" s="17" t="s">
        <v>33</v>
      </c>
      <c r="B12" s="66" t="e">
        <f>B11/B7</f>
        <v>#VALUE!</v>
      </c>
      <c r="G12" s="19">
        <f t="shared" si="0"/>
        <v>2023</v>
      </c>
      <c r="H12" s="19">
        <f t="shared" si="1"/>
        <v>1</v>
      </c>
      <c r="I12" s="29">
        <f t="shared" si="2"/>
        <v>0</v>
      </c>
      <c r="J12" s="60">
        <f t="shared" si="3"/>
        <v>0</v>
      </c>
    </row>
    <row r="13" spans="1:10" x14ac:dyDescent="0.25">
      <c r="G13" s="20">
        <f t="shared" si="0"/>
        <v>2024</v>
      </c>
      <c r="H13" s="20">
        <f t="shared" si="1"/>
        <v>1</v>
      </c>
      <c r="I13" s="29">
        <f t="shared" si="2"/>
        <v>0</v>
      </c>
      <c r="J13" s="67">
        <f t="shared" si="3"/>
        <v>0</v>
      </c>
    </row>
    <row r="14" spans="1:10" x14ac:dyDescent="0.25">
      <c r="G14" s="19">
        <f>G13+1</f>
        <v>2025</v>
      </c>
      <c r="H14" s="19">
        <f t="shared" si="1"/>
        <v>1</v>
      </c>
      <c r="I14" s="29">
        <f t="shared" si="2"/>
        <v>0</v>
      </c>
      <c r="J14" s="60">
        <f t="shared" si="3"/>
        <v>0</v>
      </c>
    </row>
    <row r="15" spans="1:10" x14ac:dyDescent="0.25">
      <c r="A15" s="22" t="s">
        <v>14</v>
      </c>
      <c r="G15" s="20">
        <f t="shared" si="0"/>
        <v>2026</v>
      </c>
      <c r="H15" s="20">
        <f t="shared" si="1"/>
        <v>1</v>
      </c>
      <c r="I15" s="29">
        <f t="shared" si="2"/>
        <v>0</v>
      </c>
      <c r="J15" s="67">
        <f t="shared" si="3"/>
        <v>0</v>
      </c>
    </row>
    <row r="16" spans="1:10" x14ac:dyDescent="0.25">
      <c r="A16" s="23" t="s">
        <v>15</v>
      </c>
      <c r="B16" s="38">
        <f>'Assumed Values'!C5</f>
        <v>2015</v>
      </c>
      <c r="D16" s="22" t="s">
        <v>31</v>
      </c>
      <c r="E16" s="33" t="s">
        <v>23</v>
      </c>
      <c r="G16" s="19">
        <f t="shared" si="0"/>
        <v>2027</v>
      </c>
      <c r="H16" s="19">
        <f t="shared" si="1"/>
        <v>1</v>
      </c>
      <c r="I16" s="29">
        <f t="shared" si="2"/>
        <v>0</v>
      </c>
      <c r="J16" s="60">
        <f t="shared" si="3"/>
        <v>0</v>
      </c>
    </row>
    <row r="17" spans="1:10" x14ac:dyDescent="0.25">
      <c r="A17" s="23" t="s">
        <v>16</v>
      </c>
      <c r="B17" s="24" t="str">
        <f>'Assumed Values'!C6</f>
        <v>3% and 7%</v>
      </c>
      <c r="D17" s="26" t="s">
        <v>67</v>
      </c>
      <c r="E17" s="27">
        <f>E7/E8</f>
        <v>0</v>
      </c>
      <c r="G17" s="20">
        <f t="shared" si="0"/>
        <v>2028</v>
      </c>
      <c r="H17" s="20">
        <f t="shared" si="1"/>
        <v>1</v>
      </c>
      <c r="I17" s="29">
        <f t="shared" si="2"/>
        <v>0</v>
      </c>
      <c r="J17" s="67">
        <f t="shared" si="3"/>
        <v>0</v>
      </c>
    </row>
    <row r="18" spans="1:10" x14ac:dyDescent="0.25">
      <c r="A18" s="23" t="s">
        <v>17</v>
      </c>
      <c r="B18" s="23">
        <f>IF(B6=2,2.1, 1.1)</f>
        <v>1.1000000000000001</v>
      </c>
      <c r="G18" s="19">
        <f t="shared" si="0"/>
        <v>2029</v>
      </c>
      <c r="H18" s="19">
        <f t="shared" si="1"/>
        <v>1</v>
      </c>
      <c r="I18" s="29">
        <f t="shared" si="2"/>
        <v>0</v>
      </c>
      <c r="J18" s="60">
        <f t="shared" si="3"/>
        <v>0</v>
      </c>
    </row>
    <row r="19" spans="1:10" x14ac:dyDescent="0.25">
      <c r="A19" s="23" t="s">
        <v>21</v>
      </c>
      <c r="B19" s="25">
        <f>'Assumed Values'!C15</f>
        <v>16.100000000000001</v>
      </c>
      <c r="G19" s="20">
        <f t="shared" si="0"/>
        <v>2030</v>
      </c>
      <c r="H19" s="20">
        <f t="shared" si="1"/>
        <v>1</v>
      </c>
      <c r="I19" s="29">
        <f t="shared" si="2"/>
        <v>0</v>
      </c>
      <c r="J19" s="67">
        <f t="shared" si="3"/>
        <v>0</v>
      </c>
    </row>
    <row r="20" spans="1:10" x14ac:dyDescent="0.25">
      <c r="A20" s="23" t="s">
        <v>32</v>
      </c>
      <c r="B20" s="23">
        <v>260</v>
      </c>
      <c r="G20" s="19">
        <f t="shared" si="0"/>
        <v>2031</v>
      </c>
      <c r="H20" s="19">
        <f t="shared" si="1"/>
        <v>1</v>
      </c>
      <c r="I20" s="29">
        <f t="shared" si="2"/>
        <v>0</v>
      </c>
      <c r="J20" s="60">
        <f t="shared" si="3"/>
        <v>0</v>
      </c>
    </row>
    <row r="21" spans="1:10" x14ac:dyDescent="0.25">
      <c r="G21" s="20">
        <f t="shared" si="0"/>
        <v>2032</v>
      </c>
      <c r="H21" s="20">
        <f t="shared" si="1"/>
        <v>1</v>
      </c>
      <c r="I21" s="29">
        <f t="shared" si="2"/>
        <v>0</v>
      </c>
      <c r="J21" s="67">
        <f t="shared" si="3"/>
        <v>0</v>
      </c>
    </row>
    <row r="22" spans="1:10" x14ac:dyDescent="0.25">
      <c r="G22" s="19">
        <f t="shared" si="0"/>
        <v>2033</v>
      </c>
      <c r="H22" s="19">
        <f t="shared" si="1"/>
        <v>1</v>
      </c>
      <c r="I22" s="29">
        <f t="shared" si="2"/>
        <v>0</v>
      </c>
      <c r="J22" s="60">
        <f t="shared" si="3"/>
        <v>0</v>
      </c>
    </row>
    <row r="23" spans="1:10" x14ac:dyDescent="0.25">
      <c r="G23" s="20">
        <f t="shared" si="0"/>
        <v>2034</v>
      </c>
      <c r="H23" s="20">
        <f t="shared" si="1"/>
        <v>1</v>
      </c>
      <c r="I23" s="29">
        <f t="shared" si="2"/>
        <v>0</v>
      </c>
      <c r="J23" s="67">
        <f t="shared" si="3"/>
        <v>0</v>
      </c>
    </row>
    <row r="24" spans="1:10" x14ac:dyDescent="0.25">
      <c r="G24" s="19">
        <f t="shared" si="0"/>
        <v>2035</v>
      </c>
      <c r="H24" s="19">
        <f t="shared" si="1"/>
        <v>1</v>
      </c>
      <c r="I24" s="29">
        <f t="shared" si="2"/>
        <v>0</v>
      </c>
      <c r="J24" s="60">
        <f t="shared" si="3"/>
        <v>0</v>
      </c>
    </row>
    <row r="25" spans="1:10" x14ac:dyDescent="0.25">
      <c r="G25" s="20">
        <f t="shared" si="0"/>
        <v>2036</v>
      </c>
      <c r="H25" s="20">
        <f t="shared" si="1"/>
        <v>1</v>
      </c>
      <c r="I25" s="29">
        <f t="shared" si="2"/>
        <v>0</v>
      </c>
      <c r="J25" s="67">
        <f t="shared" ref="J25:J29" si="4">I25*$B$18*$B$19/10^3</f>
        <v>0</v>
      </c>
    </row>
    <row r="26" spans="1:10" x14ac:dyDescent="0.25">
      <c r="G26" s="19">
        <f t="shared" si="0"/>
        <v>2037</v>
      </c>
      <c r="H26" s="19">
        <f t="shared" si="1"/>
        <v>1</v>
      </c>
      <c r="I26" s="29">
        <f t="shared" si="2"/>
        <v>0</v>
      </c>
      <c r="J26" s="60">
        <f t="shared" si="4"/>
        <v>0</v>
      </c>
    </row>
    <row r="27" spans="1:10" x14ac:dyDescent="0.25">
      <c r="G27" s="20">
        <f t="shared" si="0"/>
        <v>2038</v>
      </c>
      <c r="H27" s="20">
        <f t="shared" si="1"/>
        <v>1</v>
      </c>
      <c r="I27" s="29">
        <f t="shared" si="2"/>
        <v>0</v>
      </c>
      <c r="J27" s="67">
        <f t="shared" si="4"/>
        <v>0</v>
      </c>
    </row>
    <row r="28" spans="1:10" x14ac:dyDescent="0.25">
      <c r="G28" s="19">
        <f t="shared" si="0"/>
        <v>2039</v>
      </c>
      <c r="H28" s="19">
        <f t="shared" si="1"/>
        <v>1</v>
      </c>
      <c r="I28" s="29">
        <f t="shared" si="2"/>
        <v>0</v>
      </c>
      <c r="J28" s="60">
        <f t="shared" si="4"/>
        <v>0</v>
      </c>
    </row>
    <row r="29" spans="1:10" x14ac:dyDescent="0.25">
      <c r="A29" s="37"/>
      <c r="G29" s="20">
        <f t="shared" si="0"/>
        <v>2040</v>
      </c>
      <c r="H29" s="20">
        <f t="shared" si="1"/>
        <v>1</v>
      </c>
      <c r="I29" s="29">
        <f t="shared" si="2"/>
        <v>0</v>
      </c>
      <c r="J29" s="67">
        <f t="shared" si="4"/>
        <v>0</v>
      </c>
    </row>
    <row r="51" spans="1:1" x14ac:dyDescent="0.25">
      <c r="A51" t="s">
        <v>24</v>
      </c>
    </row>
    <row r="52" spans="1:1" x14ac:dyDescent="0.25">
      <c r="A52" s="11" t="s">
        <v>26</v>
      </c>
    </row>
    <row r="53" spans="1:1" x14ac:dyDescent="0.25">
      <c r="A53" s="11" t="s">
        <v>25</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56</v>
      </c>
      <c r="E3" s="15" t="s">
        <v>23</v>
      </c>
      <c r="G3" s="21" t="s">
        <v>27</v>
      </c>
      <c r="H3" s="21" t="s">
        <v>65</v>
      </c>
      <c r="I3" s="21" t="s">
        <v>81</v>
      </c>
      <c r="J3" s="21" t="s">
        <v>64</v>
      </c>
      <c r="K3" s="21" t="s">
        <v>82</v>
      </c>
    </row>
    <row r="4" spans="1:11" x14ac:dyDescent="0.25">
      <c r="A4" s="12" t="s">
        <v>18</v>
      </c>
      <c r="B4" s="13"/>
      <c r="D4" s="12" t="s">
        <v>71</v>
      </c>
      <c r="E4" s="72">
        <v>2015</v>
      </c>
      <c r="G4" s="19">
        <f>E4</f>
        <v>2015</v>
      </c>
      <c r="H4" s="63">
        <f t="shared" ref="H4:H24" si="0">IF($G4&lt;($G$4+$E$5),$E$17,0)</f>
        <v>0</v>
      </c>
      <c r="I4" s="62">
        <f>H4*$B$20/10^3</f>
        <v>0</v>
      </c>
      <c r="J4" s="63">
        <f t="shared" ref="J4:J24" si="1">IF($G4&lt;($G$4+$E$5),$E$18,0)</f>
        <v>0</v>
      </c>
      <c r="K4" s="62">
        <f>J4*$B$21/10^3</f>
        <v>0</v>
      </c>
    </row>
    <row r="5" spans="1:11" x14ac:dyDescent="0.25">
      <c r="A5" s="12" t="s">
        <v>19</v>
      </c>
      <c r="B5" s="13"/>
      <c r="D5" s="12" t="s">
        <v>60</v>
      </c>
      <c r="E5" s="16">
        <v>10</v>
      </c>
      <c r="G5" s="20">
        <f t="shared" ref="G5:G29" si="2">G4+1</f>
        <v>2016</v>
      </c>
      <c r="H5" s="63">
        <f t="shared" si="0"/>
        <v>0</v>
      </c>
      <c r="I5" s="64">
        <f t="shared" ref="I5:I24" si="3">H5*$B$20/10^3</f>
        <v>0</v>
      </c>
      <c r="J5" s="63">
        <f t="shared" si="1"/>
        <v>0</v>
      </c>
      <c r="K5" s="64">
        <f t="shared" ref="K5:K24" si="4">J5*$B$21/10^3</f>
        <v>0</v>
      </c>
    </row>
    <row r="6" spans="1:11" x14ac:dyDescent="0.25">
      <c r="A6" s="12" t="s">
        <v>61</v>
      </c>
      <c r="B6" s="13">
        <v>2</v>
      </c>
      <c r="D6" s="104" t="s">
        <v>58</v>
      </c>
      <c r="E6" s="105"/>
      <c r="G6" s="19">
        <f t="shared" si="2"/>
        <v>2017</v>
      </c>
      <c r="H6" s="63">
        <f t="shared" si="0"/>
        <v>0</v>
      </c>
      <c r="I6" s="62">
        <f t="shared" si="3"/>
        <v>0</v>
      </c>
      <c r="J6" s="63">
        <f t="shared" si="1"/>
        <v>0</v>
      </c>
      <c r="K6" s="62">
        <f t="shared" si="4"/>
        <v>0</v>
      </c>
    </row>
    <row r="7" spans="1:11" x14ac:dyDescent="0.25">
      <c r="A7" s="12" t="s">
        <v>74</v>
      </c>
      <c r="B7" s="32"/>
      <c r="D7" s="12" t="s">
        <v>57</v>
      </c>
      <c r="E7" s="16"/>
      <c r="G7" s="20">
        <f t="shared" si="2"/>
        <v>2018</v>
      </c>
      <c r="H7" s="63">
        <f t="shared" si="0"/>
        <v>0</v>
      </c>
      <c r="I7" s="64">
        <f t="shared" si="3"/>
        <v>0</v>
      </c>
      <c r="J7" s="63">
        <f t="shared" si="1"/>
        <v>0</v>
      </c>
      <c r="K7" s="64">
        <f t="shared" si="4"/>
        <v>0</v>
      </c>
    </row>
    <row r="8" spans="1:11" x14ac:dyDescent="0.25">
      <c r="A8" s="31" t="s">
        <v>75</v>
      </c>
      <c r="B8" s="32"/>
      <c r="D8" s="104" t="s">
        <v>59</v>
      </c>
      <c r="E8" s="105"/>
      <c r="G8" s="19">
        <f t="shared" si="2"/>
        <v>2019</v>
      </c>
      <c r="H8" s="63">
        <f t="shared" si="0"/>
        <v>0</v>
      </c>
      <c r="I8" s="62">
        <f t="shared" si="3"/>
        <v>0</v>
      </c>
      <c r="J8" s="63">
        <f t="shared" si="1"/>
        <v>0</v>
      </c>
      <c r="K8" s="62">
        <f t="shared" si="4"/>
        <v>0</v>
      </c>
    </row>
    <row r="9" spans="1:11" x14ac:dyDescent="0.25">
      <c r="D9" s="12" t="s">
        <v>62</v>
      </c>
      <c r="E9" s="16"/>
      <c r="G9" s="20">
        <f t="shared" si="2"/>
        <v>2020</v>
      </c>
      <c r="H9" s="63">
        <f t="shared" si="0"/>
        <v>0</v>
      </c>
      <c r="I9" s="64">
        <f t="shared" si="3"/>
        <v>0</v>
      </c>
      <c r="J9" s="63">
        <f t="shared" si="1"/>
        <v>0</v>
      </c>
      <c r="K9" s="64">
        <f t="shared" si="4"/>
        <v>0</v>
      </c>
    </row>
    <row r="10" spans="1:11" x14ac:dyDescent="0.25">
      <c r="A10" s="18" t="s">
        <v>34</v>
      </c>
      <c r="D10" s="12" t="s">
        <v>63</v>
      </c>
      <c r="E10" s="16"/>
      <c r="G10" s="19">
        <f t="shared" si="2"/>
        <v>2021</v>
      </c>
      <c r="H10" s="63">
        <f t="shared" si="0"/>
        <v>0</v>
      </c>
      <c r="I10" s="62">
        <f t="shared" si="3"/>
        <v>0</v>
      </c>
      <c r="J10" s="63">
        <f t="shared" si="1"/>
        <v>0</v>
      </c>
      <c r="K10" s="62">
        <f t="shared" si="4"/>
        <v>0</v>
      </c>
    </row>
    <row r="11" spans="1:11" x14ac:dyDescent="0.25">
      <c r="A11" s="17" t="s">
        <v>83</v>
      </c>
      <c r="B11" s="65">
        <f>(NPV($B$17,K4:K24)+NPV($B$17,I4:I24))/(1+$B$17)^2</f>
        <v>0</v>
      </c>
      <c r="G11" s="20">
        <f t="shared" si="2"/>
        <v>2022</v>
      </c>
      <c r="H11" s="63">
        <f t="shared" si="0"/>
        <v>0</v>
      </c>
      <c r="I11" s="64">
        <f t="shared" si="3"/>
        <v>0</v>
      </c>
      <c r="J11" s="63">
        <f t="shared" si="1"/>
        <v>0</v>
      </c>
      <c r="K11" s="64">
        <f t="shared" si="4"/>
        <v>0</v>
      </c>
    </row>
    <row r="12" spans="1:11" x14ac:dyDescent="0.25">
      <c r="A12" s="17" t="s">
        <v>33</v>
      </c>
      <c r="B12" s="66" t="e">
        <f>B11/B7</f>
        <v>#DIV/0!</v>
      </c>
      <c r="G12" s="19">
        <f t="shared" si="2"/>
        <v>2023</v>
      </c>
      <c r="H12" s="63">
        <f t="shared" si="0"/>
        <v>0</v>
      </c>
      <c r="I12" s="62">
        <f t="shared" si="3"/>
        <v>0</v>
      </c>
      <c r="J12" s="63">
        <f t="shared" si="1"/>
        <v>0</v>
      </c>
      <c r="K12" s="62">
        <f t="shared" si="4"/>
        <v>0</v>
      </c>
    </row>
    <row r="13" spans="1:11" x14ac:dyDescent="0.25">
      <c r="A13" s="17" t="s">
        <v>84</v>
      </c>
      <c r="B13" s="65" t="e">
        <f>B7*(B17/(1-(1+B17)^(-E5))/(SUM(H4:H29)+SUM(J4:J29)))</f>
        <v>#DIV/0!</v>
      </c>
      <c r="G13" s="20">
        <f t="shared" si="2"/>
        <v>2024</v>
      </c>
      <c r="H13" s="63">
        <f t="shared" si="0"/>
        <v>0</v>
      </c>
      <c r="I13" s="64">
        <f t="shared" si="3"/>
        <v>0</v>
      </c>
      <c r="J13" s="63">
        <f t="shared" si="1"/>
        <v>0</v>
      </c>
      <c r="K13" s="64">
        <f t="shared" si="4"/>
        <v>0</v>
      </c>
    </row>
    <row r="14" spans="1:11" x14ac:dyDescent="0.25">
      <c r="G14" s="19">
        <f>G13+1</f>
        <v>2025</v>
      </c>
      <c r="H14" s="63">
        <f t="shared" si="0"/>
        <v>0</v>
      </c>
      <c r="I14" s="62">
        <f t="shared" si="3"/>
        <v>0</v>
      </c>
      <c r="J14" s="63">
        <f t="shared" si="1"/>
        <v>0</v>
      </c>
      <c r="K14" s="62">
        <f t="shared" si="4"/>
        <v>0</v>
      </c>
    </row>
    <row r="15" spans="1:11" x14ac:dyDescent="0.25">
      <c r="A15" s="22" t="s">
        <v>14</v>
      </c>
      <c r="G15" s="20">
        <f t="shared" si="2"/>
        <v>2026</v>
      </c>
      <c r="H15" s="63">
        <f t="shared" si="0"/>
        <v>0</v>
      </c>
      <c r="I15" s="64">
        <f t="shared" si="3"/>
        <v>0</v>
      </c>
      <c r="J15" s="63">
        <f t="shared" si="1"/>
        <v>0</v>
      </c>
      <c r="K15" s="64">
        <f t="shared" si="4"/>
        <v>0</v>
      </c>
    </row>
    <row r="16" spans="1:11" x14ac:dyDescent="0.25">
      <c r="A16" s="23" t="s">
        <v>15</v>
      </c>
      <c r="B16" s="38">
        <v>2015</v>
      </c>
      <c r="D16" s="22" t="s">
        <v>31</v>
      </c>
      <c r="E16" s="33" t="s">
        <v>23</v>
      </c>
      <c r="G16" s="19">
        <f t="shared" si="2"/>
        <v>2027</v>
      </c>
      <c r="H16" s="63">
        <f t="shared" si="0"/>
        <v>0</v>
      </c>
      <c r="I16" s="62">
        <f t="shared" si="3"/>
        <v>0</v>
      </c>
      <c r="J16" s="63">
        <f t="shared" si="1"/>
        <v>0</v>
      </c>
      <c r="K16" s="62">
        <f t="shared" si="4"/>
        <v>0</v>
      </c>
    </row>
    <row r="17" spans="1:11" x14ac:dyDescent="0.25">
      <c r="A17" s="23" t="s">
        <v>16</v>
      </c>
      <c r="B17" s="24">
        <v>7.0000000000000007E-2</v>
      </c>
      <c r="D17" s="26" t="s">
        <v>62</v>
      </c>
      <c r="E17" s="59">
        <f>IF(E9,E9,$E$7*B18*$B$22/10^6)</f>
        <v>0</v>
      </c>
      <c r="G17" s="20">
        <f t="shared" si="2"/>
        <v>2028</v>
      </c>
      <c r="H17" s="63">
        <f t="shared" si="0"/>
        <v>0</v>
      </c>
      <c r="I17" s="64">
        <f t="shared" si="3"/>
        <v>0</v>
      </c>
      <c r="J17" s="63">
        <f t="shared" si="1"/>
        <v>0</v>
      </c>
      <c r="K17" s="64">
        <f t="shared" si="4"/>
        <v>0</v>
      </c>
    </row>
    <row r="18" spans="1:11" x14ac:dyDescent="0.25">
      <c r="A18" s="23" t="s">
        <v>54</v>
      </c>
      <c r="B18" s="70">
        <f>IF($B$6=2,'Assumed Values'!C21,0)</f>
        <v>0.32340150000000001</v>
      </c>
      <c r="D18" s="26" t="s">
        <v>63</v>
      </c>
      <c r="E18" s="59">
        <f>IF(E10,E10,$E$7*B19*$B$22/10^6)</f>
        <v>0</v>
      </c>
      <c r="G18" s="19">
        <f t="shared" si="2"/>
        <v>2029</v>
      </c>
      <c r="H18" s="63">
        <f t="shared" si="0"/>
        <v>0</v>
      </c>
      <c r="I18" s="62">
        <f t="shared" si="3"/>
        <v>0</v>
      </c>
      <c r="J18" s="63">
        <f t="shared" si="1"/>
        <v>0</v>
      </c>
      <c r="K18" s="62">
        <f t="shared" si="4"/>
        <v>0</v>
      </c>
    </row>
    <row r="19" spans="1:11" x14ac:dyDescent="0.25">
      <c r="A19" s="23" t="s">
        <v>55</v>
      </c>
      <c r="B19" s="70">
        <f>IF($B$6=2,'Assumed Values'!C22,0)</f>
        <v>0.19106300000000001</v>
      </c>
      <c r="G19" s="20">
        <f t="shared" si="2"/>
        <v>2030</v>
      </c>
      <c r="H19" s="63">
        <f t="shared" si="0"/>
        <v>0</v>
      </c>
      <c r="I19" s="64">
        <f t="shared" si="3"/>
        <v>0</v>
      </c>
      <c r="J19" s="63">
        <f t="shared" si="1"/>
        <v>0</v>
      </c>
      <c r="K19" s="64">
        <f t="shared" si="4"/>
        <v>0</v>
      </c>
    </row>
    <row r="20" spans="1:11" x14ac:dyDescent="0.25">
      <c r="A20" s="23" t="s">
        <v>89</v>
      </c>
      <c r="B20" s="61">
        <f>'Assumed Values'!C19</f>
        <v>2083.1541467275511</v>
      </c>
      <c r="G20" s="19">
        <f t="shared" si="2"/>
        <v>2031</v>
      </c>
      <c r="H20" s="63">
        <f t="shared" si="0"/>
        <v>0</v>
      </c>
      <c r="I20" s="62">
        <f t="shared" si="3"/>
        <v>0</v>
      </c>
      <c r="J20" s="63">
        <f t="shared" si="1"/>
        <v>0</v>
      </c>
      <c r="K20" s="62">
        <f t="shared" si="4"/>
        <v>0</v>
      </c>
    </row>
    <row r="21" spans="1:11" x14ac:dyDescent="0.25">
      <c r="A21" s="23" t="s">
        <v>90</v>
      </c>
      <c r="B21" s="61">
        <f>'Assumed Values'!C20</f>
        <v>8208.6069103416321</v>
      </c>
      <c r="G21" s="20">
        <f t="shared" si="2"/>
        <v>2032</v>
      </c>
      <c r="H21" s="63">
        <f t="shared" si="0"/>
        <v>0</v>
      </c>
      <c r="I21" s="64">
        <f t="shared" si="3"/>
        <v>0</v>
      </c>
      <c r="J21" s="63">
        <f t="shared" si="1"/>
        <v>0</v>
      </c>
      <c r="K21" s="64">
        <f t="shared" si="4"/>
        <v>0</v>
      </c>
    </row>
    <row r="22" spans="1:11" x14ac:dyDescent="0.25">
      <c r="A22" s="23" t="s">
        <v>32</v>
      </c>
      <c r="B22" s="23">
        <v>260</v>
      </c>
      <c r="G22" s="19">
        <f t="shared" si="2"/>
        <v>2033</v>
      </c>
      <c r="H22" s="63">
        <f t="shared" si="0"/>
        <v>0</v>
      </c>
      <c r="I22" s="62">
        <f t="shared" si="3"/>
        <v>0</v>
      </c>
      <c r="J22" s="63">
        <f t="shared" si="1"/>
        <v>0</v>
      </c>
      <c r="K22" s="62">
        <f t="shared" si="4"/>
        <v>0</v>
      </c>
    </row>
    <row r="23" spans="1:11" x14ac:dyDescent="0.25">
      <c r="G23" s="20">
        <f t="shared" si="2"/>
        <v>2034</v>
      </c>
      <c r="H23" s="63">
        <f t="shared" si="0"/>
        <v>0</v>
      </c>
      <c r="I23" s="64">
        <f t="shared" si="3"/>
        <v>0</v>
      </c>
      <c r="J23" s="63">
        <f t="shared" si="1"/>
        <v>0</v>
      </c>
      <c r="K23" s="64">
        <f t="shared" si="4"/>
        <v>0</v>
      </c>
    </row>
    <row r="24" spans="1:11" x14ac:dyDescent="0.25">
      <c r="G24" s="19">
        <f t="shared" si="2"/>
        <v>2035</v>
      </c>
      <c r="H24" s="63">
        <f t="shared" si="0"/>
        <v>0</v>
      </c>
      <c r="I24" s="62">
        <f t="shared" si="3"/>
        <v>0</v>
      </c>
      <c r="J24" s="63">
        <f t="shared" si="1"/>
        <v>0</v>
      </c>
      <c r="K24" s="62">
        <f t="shared" si="4"/>
        <v>0</v>
      </c>
    </row>
    <row r="25" spans="1:11" x14ac:dyDescent="0.25">
      <c r="G25" s="20">
        <f t="shared" si="2"/>
        <v>2036</v>
      </c>
      <c r="H25" s="63">
        <f t="shared" ref="H25:H28" si="5">IF($G25&lt;($G$4+$E$5),$E$17,0)</f>
        <v>0</v>
      </c>
      <c r="I25" s="64">
        <f t="shared" ref="I25:I29" si="6">H25*$B$20/10^3</f>
        <v>0</v>
      </c>
      <c r="J25" s="63">
        <f t="shared" ref="J25:J28" si="7">IF($G25&lt;($G$4+$E$5),$E$18,0)</f>
        <v>0</v>
      </c>
      <c r="K25" s="64">
        <f t="shared" ref="K25:K29" si="8">J25*$B$21/10^3</f>
        <v>0</v>
      </c>
    </row>
    <row r="26" spans="1:11" x14ac:dyDescent="0.25">
      <c r="G26" s="19">
        <f t="shared" si="2"/>
        <v>2037</v>
      </c>
      <c r="H26" s="63">
        <f t="shared" si="5"/>
        <v>0</v>
      </c>
      <c r="I26" s="62">
        <f t="shared" si="6"/>
        <v>0</v>
      </c>
      <c r="J26" s="63">
        <f t="shared" si="7"/>
        <v>0</v>
      </c>
      <c r="K26" s="62">
        <f t="shared" si="8"/>
        <v>0</v>
      </c>
    </row>
    <row r="27" spans="1:11" x14ac:dyDescent="0.25">
      <c r="G27" s="20">
        <f t="shared" si="2"/>
        <v>2038</v>
      </c>
      <c r="H27" s="63">
        <f t="shared" si="5"/>
        <v>0</v>
      </c>
      <c r="I27" s="64">
        <f t="shared" si="6"/>
        <v>0</v>
      </c>
      <c r="J27" s="63">
        <f t="shared" si="7"/>
        <v>0</v>
      </c>
      <c r="K27" s="64">
        <f t="shared" si="8"/>
        <v>0</v>
      </c>
    </row>
    <row r="28" spans="1:11" x14ac:dyDescent="0.25">
      <c r="G28" s="19">
        <f t="shared" si="2"/>
        <v>2039</v>
      </c>
      <c r="H28" s="63">
        <f t="shared" si="5"/>
        <v>0</v>
      </c>
      <c r="I28" s="62">
        <f t="shared" si="6"/>
        <v>0</v>
      </c>
      <c r="J28" s="63">
        <f t="shared" si="7"/>
        <v>0</v>
      </c>
      <c r="K28" s="62">
        <f t="shared" si="8"/>
        <v>0</v>
      </c>
    </row>
    <row r="29" spans="1:11" x14ac:dyDescent="0.25">
      <c r="G29" s="20">
        <f t="shared" si="2"/>
        <v>2040</v>
      </c>
      <c r="H29" s="63">
        <f>IF($G29&lt;($G$4+$E$5),$E$17,0)</f>
        <v>0</v>
      </c>
      <c r="I29" s="64">
        <f t="shared" si="6"/>
        <v>0</v>
      </c>
      <c r="J29" s="63">
        <f>IF($G29&lt;($G$4+$E$5),$E$18,0)</f>
        <v>0</v>
      </c>
      <c r="K29" s="64">
        <f t="shared" si="8"/>
        <v>0</v>
      </c>
    </row>
    <row r="31" spans="1:11" x14ac:dyDescent="0.25">
      <c r="A31" s="37"/>
    </row>
    <row r="53" spans="1:1" x14ac:dyDescent="0.25">
      <c r="A53" t="s">
        <v>24</v>
      </c>
    </row>
    <row r="54" spans="1:1" x14ac:dyDescent="0.25">
      <c r="A54" s="11" t="s">
        <v>26</v>
      </c>
    </row>
    <row r="55" spans="1:1" x14ac:dyDescent="0.25">
      <c r="A55" s="11" t="s">
        <v>25</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F50"/>
  <sheetViews>
    <sheetView tabSelected="1" zoomScale="115" zoomScaleNormal="115" workbookViewId="0">
      <selection activeCell="B17" sqref="B17"/>
    </sheetView>
  </sheetViews>
  <sheetFormatPr defaultRowHeight="15" x14ac:dyDescent="0.25"/>
  <cols>
    <col min="1" max="1" width="45.140625" bestFit="1" customWidth="1"/>
    <col min="2" max="2" width="12.5703125" customWidth="1"/>
    <col min="3" max="3" width="5.28515625" customWidth="1"/>
    <col min="4" max="4" width="23.5703125" customWidth="1"/>
    <col min="5" max="5" width="13.28515625" customWidth="1"/>
    <col min="6" max="6" width="15.28515625" bestFit="1" customWidth="1"/>
    <col min="7" max="7" width="4.5703125" customWidth="1"/>
  </cols>
  <sheetData>
    <row r="3" spans="1:6" ht="18.75" x14ac:dyDescent="0.3">
      <c r="A3" s="98" t="s">
        <v>146</v>
      </c>
      <c r="B3" s="99"/>
      <c r="C3" s="99"/>
      <c r="D3" s="99"/>
      <c r="E3" s="99"/>
      <c r="F3" s="99"/>
    </row>
    <row r="5" spans="1:6" x14ac:dyDescent="0.25">
      <c r="A5" s="14" t="s">
        <v>13</v>
      </c>
      <c r="D5" s="14" t="s">
        <v>126</v>
      </c>
      <c r="E5" s="15" t="s">
        <v>23</v>
      </c>
      <c r="F5" s="15" t="s">
        <v>22</v>
      </c>
    </row>
    <row r="6" spans="1:6" x14ac:dyDescent="0.25">
      <c r="A6" s="12" t="s">
        <v>18</v>
      </c>
      <c r="B6" s="13"/>
      <c r="D6" s="12" t="s">
        <v>135</v>
      </c>
      <c r="E6" s="16">
        <v>27</v>
      </c>
      <c r="F6" s="16">
        <v>52</v>
      </c>
    </row>
    <row r="7" spans="1:6" x14ac:dyDescent="0.25">
      <c r="A7" s="12" t="s">
        <v>124</v>
      </c>
      <c r="B7" s="13"/>
      <c r="D7" s="12" t="s">
        <v>133</v>
      </c>
      <c r="E7" s="16">
        <v>13100</v>
      </c>
      <c r="F7" s="34"/>
    </row>
    <row r="8" spans="1:6" x14ac:dyDescent="0.25">
      <c r="A8" s="12" t="s">
        <v>125</v>
      </c>
      <c r="B8" s="13"/>
      <c r="D8" s="12" t="s">
        <v>134</v>
      </c>
      <c r="E8" s="16">
        <v>16050</v>
      </c>
      <c r="F8" s="34"/>
    </row>
    <row r="9" spans="1:6" x14ac:dyDescent="0.25">
      <c r="A9" s="12" t="s">
        <v>148</v>
      </c>
      <c r="B9" s="72"/>
      <c r="D9" s="102" t="s">
        <v>117</v>
      </c>
      <c r="E9" s="103">
        <v>13760</v>
      </c>
      <c r="F9" s="34"/>
    </row>
    <row r="10" spans="1:6" x14ac:dyDescent="0.25">
      <c r="D10" s="102" t="s">
        <v>118</v>
      </c>
      <c r="E10" s="103">
        <v>16050</v>
      </c>
      <c r="F10" s="34"/>
    </row>
    <row r="11" spans="1:6" x14ac:dyDescent="0.25">
      <c r="D11" s="12" t="s">
        <v>72</v>
      </c>
      <c r="E11" s="16">
        <v>14420</v>
      </c>
      <c r="F11" s="34"/>
    </row>
    <row r="12" spans="1:6" x14ac:dyDescent="0.25">
      <c r="D12" s="12" t="s">
        <v>73</v>
      </c>
      <c r="E12" s="16">
        <v>16050</v>
      </c>
      <c r="F12" s="34"/>
    </row>
    <row r="14" spans="1:6" ht="18.75" x14ac:dyDescent="0.3">
      <c r="A14" s="98" t="s">
        <v>147</v>
      </c>
      <c r="B14" s="99"/>
      <c r="C14" s="99"/>
      <c r="D14" s="99"/>
      <c r="E14" s="99"/>
      <c r="F14" s="99"/>
    </row>
    <row r="16" spans="1:6" x14ac:dyDescent="0.25">
      <c r="A16" s="18" t="s">
        <v>145</v>
      </c>
    </row>
    <row r="17" spans="1:2" x14ac:dyDescent="0.25">
      <c r="A17" s="17" t="s">
        <v>93</v>
      </c>
      <c r="B17" s="69" t="e">
        <f>NPV(7%,Value_of_Delay_Savings__2015_____000s)/(1+7%)^(2018-2015-1)</f>
        <v>#N/A</v>
      </c>
    </row>
    <row r="18" spans="1:2" x14ac:dyDescent="0.25">
      <c r="A18" s="17" t="s">
        <v>94</v>
      </c>
      <c r="B18" s="69" t="e">
        <f>NPV(3%,Value_of_Delay_Savings__2015_____000s)/(1+3%)^(2018-2015-1)</f>
        <v>#N/A</v>
      </c>
    </row>
    <row r="26" spans="1:2" x14ac:dyDescent="0.25">
      <c r="A26" s="37"/>
    </row>
    <row r="49" spans="1:1" x14ac:dyDescent="0.25">
      <c r="A49" s="11"/>
    </row>
    <row r="50" spans="1:1" x14ac:dyDescent="0.25">
      <c r="A50" s="11"/>
    </row>
  </sheetData>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Q41"/>
  <sheetViews>
    <sheetView zoomScale="85" zoomScaleNormal="85" workbookViewId="0">
      <selection activeCell="A11" sqref="A11"/>
    </sheetView>
  </sheetViews>
  <sheetFormatPr defaultRowHeight="15" x14ac:dyDescent="0.25"/>
  <cols>
    <col min="1" max="1" width="45.140625" bestFit="1" customWidth="1"/>
    <col min="2" max="2" width="12.5703125" customWidth="1"/>
    <col min="3" max="3" width="5.28515625" customWidth="1"/>
    <col min="4" max="4" width="25.5703125" customWidth="1"/>
    <col min="5" max="5" width="15.42578125" bestFit="1" customWidth="1"/>
    <col min="6" max="6" width="15.5703125" bestFit="1" customWidth="1"/>
    <col min="7" max="7" width="4.5703125" customWidth="1"/>
    <col min="8" max="8" width="9.28515625" bestFit="1" customWidth="1"/>
    <col min="9" max="9" width="12.7109375" bestFit="1" customWidth="1"/>
    <col min="10" max="10" width="10.85546875" bestFit="1" customWidth="1"/>
    <col min="11" max="11" width="16.7109375" style="3" customWidth="1"/>
    <col min="12" max="12" width="16.85546875" style="85" bestFit="1" customWidth="1"/>
    <col min="13" max="13" width="11.42578125" style="88" bestFit="1" customWidth="1"/>
    <col min="14" max="14" width="18.85546875" bestFit="1" customWidth="1"/>
    <col min="15" max="15" width="18.7109375" customWidth="1"/>
    <col min="16" max="16" width="25.7109375" bestFit="1" customWidth="1"/>
    <col min="17" max="17" width="38.42578125" bestFit="1" customWidth="1"/>
  </cols>
  <sheetData>
    <row r="3" spans="1:17" x14ac:dyDescent="0.25">
      <c r="A3" s="22" t="s">
        <v>14</v>
      </c>
      <c r="D3" s="22" t="s">
        <v>31</v>
      </c>
      <c r="E3" s="33" t="s">
        <v>23</v>
      </c>
      <c r="F3" s="33" t="s">
        <v>22</v>
      </c>
      <c r="H3" s="21" t="s">
        <v>27</v>
      </c>
      <c r="I3" s="21" t="s">
        <v>28</v>
      </c>
      <c r="J3" s="21" t="s">
        <v>29</v>
      </c>
      <c r="K3" s="81" t="s">
        <v>132</v>
      </c>
      <c r="L3" s="83" t="s">
        <v>30</v>
      </c>
      <c r="M3" s="86" t="s">
        <v>136</v>
      </c>
      <c r="N3" s="21" t="s">
        <v>36</v>
      </c>
      <c r="O3" s="21" t="s">
        <v>131</v>
      </c>
      <c r="P3" s="21" t="s">
        <v>138</v>
      </c>
      <c r="Q3" s="21" t="s">
        <v>91</v>
      </c>
    </row>
    <row r="4" spans="1:17" x14ac:dyDescent="0.25">
      <c r="A4" s="23" t="s">
        <v>15</v>
      </c>
      <c r="B4" s="38">
        <v>2015</v>
      </c>
      <c r="D4" s="26" t="s">
        <v>121</v>
      </c>
      <c r="E4" s="27">
        <f>'Inputs &amp; Outputs'!E6*Annual_Days_of_Travel</f>
        <v>7020</v>
      </c>
      <c r="F4" s="27">
        <f>'Inputs &amp; Outputs'!F6*Annual_Days_of_Travel</f>
        <v>13520</v>
      </c>
      <c r="H4" s="91">
        <v>2018</v>
      </c>
      <c r="I4" s="92">
        <f>F4</f>
        <v>13520</v>
      </c>
      <c r="J4" s="92">
        <f>E4</f>
        <v>7020</v>
      </c>
      <c r="K4" s="93" t="s">
        <v>139</v>
      </c>
      <c r="L4" s="94">
        <f>MIN(E8,1)</f>
        <v>0.81619937694704048</v>
      </c>
      <c r="M4" s="95">
        <f>-(ROUNDUP(L4,0)-2)</f>
        <v>1</v>
      </c>
      <c r="N4" s="29">
        <f>I4-J4</f>
        <v>6500</v>
      </c>
      <c r="O4" s="100">
        <f t="shared" ref="O4:O36" si="0">IF(AND(H4&gt;=Year_Open_to_Traffic?,H4&lt;Year_Open_to_Traffic?+Years_to_include_in_BCA_Analysis),1,0)</f>
        <v>0</v>
      </c>
      <c r="P4" s="101">
        <f t="shared" ref="P4:P36" si="1">Value_of_Travel_Time__VoTT___2015*(1+Real_wage_growth_rate)^(H4-Base_Year)</f>
        <v>16.686583020800001</v>
      </c>
      <c r="Q4" s="90">
        <f t="shared" ref="Q4:Q36" si="2">(N4*O4)*(Vehicle_Occupancy*P4)/10^3</f>
        <v>0</v>
      </c>
    </row>
    <row r="5" spans="1:17" x14ac:dyDescent="0.25">
      <c r="A5" s="23" t="s">
        <v>17</v>
      </c>
      <c r="B5" s="23">
        <v>1.32</v>
      </c>
      <c r="D5" s="26" t="s">
        <v>122</v>
      </c>
      <c r="E5" s="68">
        <f>(_2025_Volume/_2018_Volume)^(1/(2025-2018))-1</f>
        <v>7.0466548358976144E-3</v>
      </c>
      <c r="F5" s="35"/>
      <c r="H5" s="20">
        <f t="shared" ref="H5:H36" si="3">H4+1</f>
        <v>2019</v>
      </c>
      <c r="I5" s="36"/>
      <c r="J5" s="36"/>
      <c r="K5" s="82">
        <f t="shared" ref="K5:K11" si="4">IF(ISERROR(_2025_2040_Demand_Growth),_2018_2040_Demand_Growth,_2018_2025_Demand_Growth)</f>
        <v>7.0466548358976144E-3</v>
      </c>
      <c r="L5" s="84">
        <f t="shared" ref="L5:L11" si="5">L4*(1+IFERROR(_2018_2025_V_C_Growth,_2018_2040_V_C_Growth))</f>
        <v>0.82195085223366093</v>
      </c>
      <c r="M5" s="87">
        <f t="shared" ref="M5:M36" si="6">-(ROUNDUP(L5,0)-2)</f>
        <v>1</v>
      </c>
      <c r="N5" s="30">
        <f>N4*(1+K5*M5)</f>
        <v>6545.8032564333344</v>
      </c>
      <c r="O5" s="100">
        <f t="shared" si="0"/>
        <v>0</v>
      </c>
      <c r="P5" s="101">
        <f t="shared" si="1"/>
        <v>16.8868220170496</v>
      </c>
      <c r="Q5" s="90">
        <f t="shared" si="2"/>
        <v>0</v>
      </c>
    </row>
    <row r="6" spans="1:17" x14ac:dyDescent="0.25">
      <c r="A6" s="23" t="s">
        <v>87</v>
      </c>
      <c r="B6" s="25">
        <f>'Assumed Values'!C15</f>
        <v>16.100000000000001</v>
      </c>
      <c r="D6" s="26" t="s">
        <v>123</v>
      </c>
      <c r="E6" s="68">
        <f>(_2040_Volume/_2025_Volume)^(1/(2040-2025))-1</f>
        <v>3.1282360401889697E-3</v>
      </c>
      <c r="F6" s="35"/>
      <c r="H6" s="91">
        <f t="shared" si="3"/>
        <v>2020</v>
      </c>
      <c r="I6" s="36"/>
      <c r="J6" s="36"/>
      <c r="K6" s="82">
        <f t="shared" si="4"/>
        <v>7.0466548358976144E-3</v>
      </c>
      <c r="L6" s="84">
        <f t="shared" si="5"/>
        <v>0.8277428561814234</v>
      </c>
      <c r="M6" s="87">
        <f t="shared" si="6"/>
        <v>1</v>
      </c>
      <c r="N6" s="30">
        <f t="shared" ref="N6:N29" si="7">N5*(1+K6*M6)</f>
        <v>6591.9292726051144</v>
      </c>
      <c r="O6" s="100">
        <f t="shared" si="0"/>
        <v>0</v>
      </c>
      <c r="P6" s="101">
        <f t="shared" si="1"/>
        <v>17.089463881254197</v>
      </c>
      <c r="Q6" s="90">
        <f t="shared" si="2"/>
        <v>0</v>
      </c>
    </row>
    <row r="7" spans="1:17" x14ac:dyDescent="0.25">
      <c r="A7" s="23" t="s">
        <v>137</v>
      </c>
      <c r="B7" s="89">
        <v>1.2E-2</v>
      </c>
      <c r="D7" s="26" t="s">
        <v>127</v>
      </c>
      <c r="E7" s="68">
        <f>(_2040_Volume/_2018_Volume)^(1/(2040-2018))-1</f>
        <v>4.3733490114492568E-3</v>
      </c>
      <c r="F7" s="35"/>
      <c r="H7" s="20">
        <f t="shared" si="3"/>
        <v>2021</v>
      </c>
      <c r="I7" s="36"/>
      <c r="J7" s="36"/>
      <c r="K7" s="82">
        <f t="shared" si="4"/>
        <v>7.0466548358976144E-3</v>
      </c>
      <c r="L7" s="84">
        <f t="shared" si="5"/>
        <v>0.8335756743818139</v>
      </c>
      <c r="M7" s="87">
        <f t="shared" si="6"/>
        <v>1</v>
      </c>
      <c r="N7" s="30">
        <f t="shared" si="7"/>
        <v>6638.3803228918123</v>
      </c>
      <c r="O7" s="100">
        <f t="shared" si="0"/>
        <v>0</v>
      </c>
      <c r="P7" s="101">
        <f t="shared" si="1"/>
        <v>17.294537447829242</v>
      </c>
      <c r="Q7" s="90">
        <f t="shared" si="2"/>
        <v>0</v>
      </c>
    </row>
    <row r="8" spans="1:17" x14ac:dyDescent="0.25">
      <c r="A8" s="23" t="s">
        <v>32</v>
      </c>
      <c r="B8" s="23">
        <v>260</v>
      </c>
      <c r="D8" s="26" t="s">
        <v>120</v>
      </c>
      <c r="E8" s="28">
        <f>_2018_Volume/_2018_Capacity</f>
        <v>0.81619937694704048</v>
      </c>
      <c r="F8" s="35"/>
      <c r="H8" s="91">
        <f t="shared" si="3"/>
        <v>2022</v>
      </c>
      <c r="I8" s="36"/>
      <c r="J8" s="36"/>
      <c r="K8" s="82">
        <f t="shared" si="4"/>
        <v>7.0466548358976144E-3</v>
      </c>
      <c r="L8" s="84">
        <f t="shared" si="5"/>
        <v>0.83944959443878309</v>
      </c>
      <c r="M8" s="87">
        <f t="shared" si="6"/>
        <v>1</v>
      </c>
      <c r="N8" s="30">
        <f t="shared" si="7"/>
        <v>6685.1586976966455</v>
      </c>
      <c r="O8" s="100">
        <f t="shared" si="0"/>
        <v>0</v>
      </c>
      <c r="P8" s="101">
        <f t="shared" si="1"/>
        <v>17.502071897203198</v>
      </c>
      <c r="Q8" s="90">
        <f t="shared" si="2"/>
        <v>0</v>
      </c>
    </row>
    <row r="9" spans="1:17" x14ac:dyDescent="0.25">
      <c r="A9" s="23" t="s">
        <v>92</v>
      </c>
      <c r="B9" s="23">
        <v>20</v>
      </c>
      <c r="D9" s="26" t="s">
        <v>119</v>
      </c>
      <c r="E9" s="28">
        <f>_2025_Volume/_2025_Capacity</f>
        <v>0.85732087227414333</v>
      </c>
      <c r="F9" s="35"/>
      <c r="H9" s="20">
        <f t="shared" si="3"/>
        <v>2023</v>
      </c>
      <c r="I9" s="36"/>
      <c r="J9" s="36"/>
      <c r="K9" s="82">
        <f t="shared" si="4"/>
        <v>7.0466548358976144E-3</v>
      </c>
      <c r="L9" s="84">
        <f t="shared" si="5"/>
        <v>0.84536490598292746</v>
      </c>
      <c r="M9" s="87">
        <f t="shared" si="6"/>
        <v>1</v>
      </c>
      <c r="N9" s="30">
        <f t="shared" si="7"/>
        <v>6732.2667035625127</v>
      </c>
      <c r="O9" s="100">
        <f t="shared" si="0"/>
        <v>0</v>
      </c>
      <c r="P9" s="101">
        <f t="shared" si="1"/>
        <v>17.712096759969636</v>
      </c>
      <c r="Q9" s="90">
        <f t="shared" si="2"/>
        <v>0</v>
      </c>
    </row>
    <row r="10" spans="1:17" x14ac:dyDescent="0.25">
      <c r="D10" s="26" t="s">
        <v>95</v>
      </c>
      <c r="E10" s="28">
        <f>_2040_Volume/_2040_Capacity</f>
        <v>0.89844236760124607</v>
      </c>
      <c r="F10" s="35"/>
      <c r="H10" s="91">
        <f t="shared" si="3"/>
        <v>2024</v>
      </c>
      <c r="I10" s="36"/>
      <c r="J10" s="36"/>
      <c r="K10" s="82">
        <f t="shared" si="4"/>
        <v>7.0466548358976144E-3</v>
      </c>
      <c r="L10" s="84">
        <f t="shared" si="5"/>
        <v>0.85132190068577018</v>
      </c>
      <c r="M10" s="87">
        <f t="shared" si="6"/>
        <v>1</v>
      </c>
      <c r="N10" s="30">
        <f t="shared" si="7"/>
        <v>6779.7066632857241</v>
      </c>
      <c r="O10" s="100">
        <f t="shared" si="0"/>
        <v>0</v>
      </c>
      <c r="P10" s="101">
        <f t="shared" si="1"/>
        <v>17.924641921089272</v>
      </c>
      <c r="Q10" s="90">
        <f t="shared" si="2"/>
        <v>0</v>
      </c>
    </row>
    <row r="11" spans="1:17" x14ac:dyDescent="0.25">
      <c r="D11" s="26" t="s">
        <v>128</v>
      </c>
      <c r="E11" s="68">
        <f>(E9/E8)^(1/(2025-2018))-1</f>
        <v>7.0466548358976144E-3</v>
      </c>
      <c r="F11" s="35"/>
      <c r="H11" s="20">
        <f t="shared" si="3"/>
        <v>2025</v>
      </c>
      <c r="I11" s="36"/>
      <c r="J11" s="36"/>
      <c r="K11" s="82">
        <f t="shared" si="4"/>
        <v>7.0466548358976144E-3</v>
      </c>
      <c r="L11" s="84">
        <f t="shared" si="5"/>
        <v>0.85732087227414311</v>
      </c>
      <c r="M11" s="87">
        <f t="shared" si="6"/>
        <v>1</v>
      </c>
      <c r="N11" s="30">
        <f t="shared" si="7"/>
        <v>6827.480916030534</v>
      </c>
      <c r="O11" s="100">
        <f t="shared" si="0"/>
        <v>0</v>
      </c>
      <c r="P11" s="101">
        <f t="shared" si="1"/>
        <v>18.139737624142342</v>
      </c>
      <c r="Q11" s="90">
        <f t="shared" si="2"/>
        <v>0</v>
      </c>
    </row>
    <row r="12" spans="1:17" x14ac:dyDescent="0.25">
      <c r="D12" s="26" t="s">
        <v>129</v>
      </c>
      <c r="E12" s="68">
        <f>(E10/E9)^(1/(2040-2025))-1</f>
        <v>3.1282360401889697E-3</v>
      </c>
      <c r="F12" s="35"/>
      <c r="H12" s="91">
        <f t="shared" si="3"/>
        <v>2026</v>
      </c>
      <c r="I12" s="36"/>
      <c r="J12" s="36"/>
      <c r="K12" s="82">
        <f t="shared" ref="K12:K36" si="8">IFERROR(_2025_2040_Demand_Growth,_2018_2040_Demand_Growth)</f>
        <v>3.1282360401889697E-3</v>
      </c>
      <c r="L12" s="84">
        <f t="shared" ref="L12:L36" si="9">L11*(1+IFERROR(_2025_2040_V_C_Growth,_2018_2040_V_C_Growth))</f>
        <v>0.86000277432479733</v>
      </c>
      <c r="M12" s="87">
        <f t="shared" si="6"/>
        <v>1</v>
      </c>
      <c r="N12" s="30">
        <f t="shared" si="7"/>
        <v>6848.838887895763</v>
      </c>
      <c r="O12" s="100">
        <f t="shared" si="0"/>
        <v>0</v>
      </c>
      <c r="P12" s="101">
        <f t="shared" si="1"/>
        <v>18.357414475632051</v>
      </c>
      <c r="Q12" s="90">
        <f t="shared" si="2"/>
        <v>0</v>
      </c>
    </row>
    <row r="13" spans="1:17" x14ac:dyDescent="0.25">
      <c r="D13" s="26" t="s">
        <v>130</v>
      </c>
      <c r="E13" s="68">
        <f>(E10/E8)^(1/(2040-2018))-1</f>
        <v>4.3733490114492568E-3</v>
      </c>
      <c r="F13" s="35"/>
      <c r="H13" s="20">
        <f t="shared" si="3"/>
        <v>2027</v>
      </c>
      <c r="I13" s="36"/>
      <c r="J13" s="36"/>
      <c r="K13" s="82">
        <f t="shared" si="8"/>
        <v>3.1282360401889697E-3</v>
      </c>
      <c r="L13" s="84">
        <f t="shared" si="9"/>
        <v>0.86269306599810269</v>
      </c>
      <c r="M13" s="87">
        <f t="shared" si="6"/>
        <v>1</v>
      </c>
      <c r="N13" s="30">
        <f t="shared" si="7"/>
        <v>6870.2636725383263</v>
      </c>
      <c r="O13" s="100">
        <f t="shared" si="0"/>
        <v>0</v>
      </c>
      <c r="P13" s="101">
        <f t="shared" si="1"/>
        <v>18.577703449339634</v>
      </c>
      <c r="Q13" s="90">
        <f t="shared" si="2"/>
        <v>0</v>
      </c>
    </row>
    <row r="14" spans="1:17" x14ac:dyDescent="0.25">
      <c r="H14" s="91">
        <f>H13+1</f>
        <v>2028</v>
      </c>
      <c r="I14" s="36"/>
      <c r="J14" s="36"/>
      <c r="K14" s="82">
        <f t="shared" si="8"/>
        <v>3.1282360401889697E-3</v>
      </c>
      <c r="L14" s="84">
        <f t="shared" si="9"/>
        <v>0.86539177353877905</v>
      </c>
      <c r="M14" s="87">
        <f t="shared" si="6"/>
        <v>1</v>
      </c>
      <c r="N14" s="30">
        <f t="shared" si="7"/>
        <v>6891.7554789643618</v>
      </c>
      <c r="O14" s="100">
        <f t="shared" si="0"/>
        <v>0</v>
      </c>
      <c r="P14" s="101">
        <f t="shared" si="1"/>
        <v>18.800635890731709</v>
      </c>
      <c r="Q14" s="90">
        <f t="shared" si="2"/>
        <v>0</v>
      </c>
    </row>
    <row r="15" spans="1:17" x14ac:dyDescent="0.25">
      <c r="H15" s="20">
        <f t="shared" si="3"/>
        <v>2029</v>
      </c>
      <c r="I15" s="36"/>
      <c r="J15" s="36"/>
      <c r="K15" s="82">
        <f t="shared" si="8"/>
        <v>3.1282360401889697E-3</v>
      </c>
      <c r="L15" s="84">
        <f t="shared" si="9"/>
        <v>0.86809892327364613</v>
      </c>
      <c r="M15" s="87">
        <f t="shared" si="6"/>
        <v>1</v>
      </c>
      <c r="N15" s="30">
        <f t="shared" si="7"/>
        <v>6913.3145168338278</v>
      </c>
      <c r="O15" s="100">
        <f t="shared" si="0"/>
        <v>0</v>
      </c>
      <c r="P15" s="101">
        <f t="shared" si="1"/>
        <v>19.026243521420486</v>
      </c>
      <c r="Q15" s="90">
        <f t="shared" si="2"/>
        <v>0</v>
      </c>
    </row>
    <row r="16" spans="1:17" x14ac:dyDescent="0.25">
      <c r="H16" s="91">
        <f t="shared" si="3"/>
        <v>2030</v>
      </c>
      <c r="I16" s="36"/>
      <c r="J16" s="36"/>
      <c r="K16" s="82">
        <f t="shared" si="8"/>
        <v>3.1282360401889697E-3</v>
      </c>
      <c r="L16" s="84">
        <f t="shared" si="9"/>
        <v>0.87081454161187999</v>
      </c>
      <c r="M16" s="87">
        <f t="shared" si="6"/>
        <v>1</v>
      </c>
      <c r="N16" s="30">
        <f t="shared" si="7"/>
        <v>6934.9409964625493</v>
      </c>
      <c r="O16" s="100">
        <f t="shared" si="0"/>
        <v>0</v>
      </c>
      <c r="P16" s="101">
        <f t="shared" si="1"/>
        <v>19.254558443677539</v>
      </c>
      <c r="Q16" s="90">
        <f t="shared" si="2"/>
        <v>0</v>
      </c>
    </row>
    <row r="17" spans="1:17" x14ac:dyDescent="0.25">
      <c r="A17" s="37"/>
      <c r="H17" s="20">
        <f t="shared" si="3"/>
        <v>2031</v>
      </c>
      <c r="I17" s="36"/>
      <c r="J17" s="36"/>
      <c r="K17" s="82">
        <f t="shared" si="8"/>
        <v>3.1282360401889697E-3</v>
      </c>
      <c r="L17" s="84">
        <f t="shared" si="9"/>
        <v>0.87353865504527095</v>
      </c>
      <c r="M17" s="87">
        <f t="shared" si="6"/>
        <v>1</v>
      </c>
      <c r="N17" s="30">
        <f t="shared" si="7"/>
        <v>6956.6351288242677</v>
      </c>
      <c r="O17" s="100">
        <f t="shared" si="0"/>
        <v>0</v>
      </c>
      <c r="P17" s="101">
        <f t="shared" si="1"/>
        <v>19.485613145001668</v>
      </c>
      <c r="Q17" s="90">
        <f t="shared" si="2"/>
        <v>0</v>
      </c>
    </row>
    <row r="18" spans="1:17" x14ac:dyDescent="0.25">
      <c r="H18" s="91">
        <f t="shared" si="3"/>
        <v>2032</v>
      </c>
      <c r="I18" s="36"/>
      <c r="J18" s="36"/>
      <c r="K18" s="82">
        <f t="shared" si="8"/>
        <v>3.1282360401889697E-3</v>
      </c>
      <c r="L18" s="84">
        <f t="shared" si="9"/>
        <v>0.87627129014848182</v>
      </c>
      <c r="M18" s="87">
        <f t="shared" si="6"/>
        <v>1</v>
      </c>
      <c r="N18" s="30">
        <f t="shared" si="7"/>
        <v>6978.3971255527003</v>
      </c>
      <c r="O18" s="100">
        <f t="shared" si="0"/>
        <v>0</v>
      </c>
      <c r="P18" s="101">
        <f t="shared" si="1"/>
        <v>19.719440502741691</v>
      </c>
      <c r="Q18" s="90">
        <f t="shared" si="2"/>
        <v>0</v>
      </c>
    </row>
    <row r="19" spans="1:17" x14ac:dyDescent="0.25">
      <c r="H19" s="20">
        <f t="shared" si="3"/>
        <v>2033</v>
      </c>
      <c r="I19" s="36"/>
      <c r="J19" s="36"/>
      <c r="K19" s="82">
        <f t="shared" si="8"/>
        <v>3.1282360401889697E-3</v>
      </c>
      <c r="L19" s="84">
        <f t="shared" si="9"/>
        <v>0.87901247357930723</v>
      </c>
      <c r="M19" s="87">
        <f t="shared" si="6"/>
        <v>1</v>
      </c>
      <c r="N19" s="30">
        <f t="shared" si="7"/>
        <v>7000.2271989436058</v>
      </c>
      <c r="O19" s="100">
        <f t="shared" si="0"/>
        <v>0</v>
      </c>
      <c r="P19" s="101">
        <f t="shared" si="1"/>
        <v>19.956073788774585</v>
      </c>
      <c r="Q19" s="90">
        <f t="shared" si="2"/>
        <v>0</v>
      </c>
    </row>
    <row r="20" spans="1:17" x14ac:dyDescent="0.25">
      <c r="H20" s="91">
        <f t="shared" si="3"/>
        <v>2034</v>
      </c>
      <c r="I20" s="36"/>
      <c r="J20" s="36"/>
      <c r="K20" s="82">
        <f t="shared" si="8"/>
        <v>3.1282360401889697E-3</v>
      </c>
      <c r="L20" s="84">
        <f t="shared" si="9"/>
        <v>0.88176223207893367</v>
      </c>
      <c r="M20" s="87">
        <f t="shared" si="6"/>
        <v>1</v>
      </c>
      <c r="N20" s="30">
        <f t="shared" si="7"/>
        <v>7022.1255619568519</v>
      </c>
      <c r="O20" s="100">
        <f t="shared" si="0"/>
        <v>0</v>
      </c>
      <c r="P20" s="101">
        <f t="shared" si="1"/>
        <v>20.195546674239885</v>
      </c>
      <c r="Q20" s="90">
        <f t="shared" si="2"/>
        <v>0</v>
      </c>
    </row>
    <row r="21" spans="1:17" x14ac:dyDescent="0.25">
      <c r="H21" s="20">
        <f t="shared" si="3"/>
        <v>2035</v>
      </c>
      <c r="I21" s="36"/>
      <c r="J21" s="36"/>
      <c r="K21" s="82">
        <f t="shared" si="8"/>
        <v>3.1282360401889697E-3</v>
      </c>
      <c r="L21" s="84">
        <f t="shared" si="9"/>
        <v>0.8845205924722005</v>
      </c>
      <c r="M21" s="87">
        <f t="shared" si="6"/>
        <v>1</v>
      </c>
      <c r="N21" s="30">
        <f t="shared" si="7"/>
        <v>7044.0924282184978</v>
      </c>
      <c r="O21" s="100">
        <f t="shared" si="0"/>
        <v>0</v>
      </c>
      <c r="P21" s="101">
        <f t="shared" si="1"/>
        <v>20.437893234330762</v>
      </c>
      <c r="Q21" s="90">
        <f t="shared" si="2"/>
        <v>0</v>
      </c>
    </row>
    <row r="22" spans="1:17" x14ac:dyDescent="0.25">
      <c r="H22" s="91">
        <f>H21+1</f>
        <v>2036</v>
      </c>
      <c r="I22" s="36"/>
      <c r="J22" s="36"/>
      <c r="K22" s="82">
        <f t="shared" si="8"/>
        <v>3.1282360401889697E-3</v>
      </c>
      <c r="L22" s="84">
        <f t="shared" si="9"/>
        <v>0.88728758166786137</v>
      </c>
      <c r="M22" s="87">
        <f t="shared" si="6"/>
        <v>1</v>
      </c>
      <c r="N22" s="30">
        <f t="shared" si="7"/>
        <v>7066.128012022873</v>
      </c>
      <c r="O22" s="100">
        <f t="shared" si="0"/>
        <v>0</v>
      </c>
      <c r="P22" s="101">
        <f t="shared" si="1"/>
        <v>20.683147953142733</v>
      </c>
      <c r="Q22" s="90">
        <f t="shared" si="2"/>
        <v>0</v>
      </c>
    </row>
    <row r="23" spans="1:17" x14ac:dyDescent="0.25">
      <c r="H23" s="20">
        <f t="shared" si="3"/>
        <v>2037</v>
      </c>
      <c r="I23" s="36"/>
      <c r="J23" s="36"/>
      <c r="K23" s="82">
        <f t="shared" si="8"/>
        <v>3.1282360401889697E-3</v>
      </c>
      <c r="L23" s="84">
        <f t="shared" si="9"/>
        <v>0.89006322665884685</v>
      </c>
      <c r="M23" s="87">
        <f t="shared" si="6"/>
        <v>1</v>
      </c>
      <c r="N23" s="30">
        <f t="shared" si="7"/>
        <v>7088.2325283346718</v>
      </c>
      <c r="O23" s="100">
        <f t="shared" si="0"/>
        <v>0</v>
      </c>
      <c r="P23" s="101">
        <f t="shared" si="1"/>
        <v>20.931345728580439</v>
      </c>
      <c r="Q23" s="90">
        <f t="shared" si="2"/>
        <v>0</v>
      </c>
    </row>
    <row r="24" spans="1:17" x14ac:dyDescent="0.25">
      <c r="H24" s="91">
        <f t="shared" si="3"/>
        <v>2038</v>
      </c>
      <c r="I24" s="36"/>
      <c r="J24" s="36"/>
      <c r="K24" s="82">
        <f t="shared" si="8"/>
        <v>3.1282360401889697E-3</v>
      </c>
      <c r="L24" s="84">
        <f t="shared" si="9"/>
        <v>0.89284755452252795</v>
      </c>
      <c r="M24" s="87">
        <f t="shared" si="6"/>
        <v>1</v>
      </c>
      <c r="N24" s="30">
        <f t="shared" si="7"/>
        <v>7110.4061927910479</v>
      </c>
      <c r="O24" s="100">
        <f t="shared" si="0"/>
        <v>0</v>
      </c>
      <c r="P24" s="101">
        <f t="shared" si="1"/>
        <v>21.18252187732341</v>
      </c>
      <c r="Q24" s="90">
        <f t="shared" si="2"/>
        <v>0</v>
      </c>
    </row>
    <row r="25" spans="1:17" x14ac:dyDescent="0.25">
      <c r="H25" s="20">
        <f t="shared" si="3"/>
        <v>2039</v>
      </c>
      <c r="I25" s="36"/>
      <c r="J25" s="36"/>
      <c r="K25" s="82">
        <f t="shared" si="8"/>
        <v>3.1282360401889697E-3</v>
      </c>
      <c r="L25" s="84">
        <f t="shared" si="9"/>
        <v>0.89564059242097993</v>
      </c>
      <c r="M25" s="87">
        <f t="shared" si="6"/>
        <v>1</v>
      </c>
      <c r="N25" s="30">
        <f t="shared" si="7"/>
        <v>7132.6492217037194</v>
      </c>
      <c r="O25" s="100">
        <f t="shared" si="0"/>
        <v>0</v>
      </c>
      <c r="P25" s="101">
        <f t="shared" si="1"/>
        <v>21.436712139851288</v>
      </c>
      <c r="Q25" s="90">
        <f t="shared" si="2"/>
        <v>0</v>
      </c>
    </row>
    <row r="26" spans="1:17" x14ac:dyDescent="0.25">
      <c r="H26" s="91">
        <f t="shared" si="3"/>
        <v>2040</v>
      </c>
      <c r="I26" s="36"/>
      <c r="J26" s="36"/>
      <c r="K26" s="82">
        <f t="shared" si="8"/>
        <v>3.1282360401889697E-3</v>
      </c>
      <c r="L26" s="84">
        <f t="shared" si="9"/>
        <v>0.8984423676012474</v>
      </c>
      <c r="M26" s="87">
        <f t="shared" si="6"/>
        <v>1</v>
      </c>
      <c r="N26" s="30">
        <f t="shared" si="7"/>
        <v>7154.9618320610789</v>
      </c>
      <c r="O26" s="100">
        <f t="shared" si="0"/>
        <v>0</v>
      </c>
      <c r="P26" s="101">
        <f t="shared" si="1"/>
        <v>21.693952685529503</v>
      </c>
      <c r="Q26" s="90">
        <f t="shared" si="2"/>
        <v>0</v>
      </c>
    </row>
    <row r="27" spans="1:17" x14ac:dyDescent="0.25">
      <c r="H27" s="20">
        <f t="shared" si="3"/>
        <v>2041</v>
      </c>
      <c r="I27" s="36"/>
      <c r="J27" s="36"/>
      <c r="K27" s="82">
        <f t="shared" si="8"/>
        <v>3.1282360401889697E-3</v>
      </c>
      <c r="L27" s="84">
        <f t="shared" si="9"/>
        <v>0.90125290739561037</v>
      </c>
      <c r="M27" s="87">
        <f t="shared" si="6"/>
        <v>1</v>
      </c>
      <c r="N27" s="30">
        <f t="shared" si="7"/>
        <v>7177.3442415303089</v>
      </c>
      <c r="O27" s="100">
        <f t="shared" si="0"/>
        <v>0</v>
      </c>
      <c r="P27" s="101">
        <f t="shared" si="1"/>
        <v>21.954280117755857</v>
      </c>
      <c r="Q27" s="90">
        <f t="shared" si="2"/>
        <v>0</v>
      </c>
    </row>
    <row r="28" spans="1:17" x14ac:dyDescent="0.25">
      <c r="H28" s="91">
        <f t="shared" si="3"/>
        <v>2042</v>
      </c>
      <c r="I28" s="36"/>
      <c r="J28" s="36"/>
      <c r="K28" s="82">
        <f t="shared" si="8"/>
        <v>3.1282360401889697E-3</v>
      </c>
      <c r="L28" s="84">
        <f t="shared" si="9"/>
        <v>0.90407223922185043</v>
      </c>
      <c r="M28" s="87">
        <f t="shared" si="6"/>
        <v>1</v>
      </c>
      <c r="N28" s="30">
        <f t="shared" si="7"/>
        <v>7199.7966684595067</v>
      </c>
      <c r="O28" s="100">
        <f t="shared" si="0"/>
        <v>0</v>
      </c>
      <c r="P28" s="101">
        <f t="shared" si="1"/>
        <v>22.217731479168929</v>
      </c>
      <c r="Q28" s="90">
        <f t="shared" si="2"/>
        <v>0</v>
      </c>
    </row>
    <row r="29" spans="1:17" x14ac:dyDescent="0.25">
      <c r="H29" s="20">
        <f t="shared" si="3"/>
        <v>2043</v>
      </c>
      <c r="I29" s="36"/>
      <c r="J29" s="36"/>
      <c r="K29" s="82">
        <f t="shared" si="8"/>
        <v>3.1282360401889697E-3</v>
      </c>
      <c r="L29" s="84">
        <f t="shared" si="9"/>
        <v>0.90690039058351857</v>
      </c>
      <c r="M29" s="87">
        <f t="shared" si="6"/>
        <v>1</v>
      </c>
      <c r="N29" s="30">
        <f t="shared" si="7"/>
        <v>7222.3193318798139</v>
      </c>
      <c r="O29" s="100">
        <f t="shared" si="0"/>
        <v>0</v>
      </c>
      <c r="P29" s="101">
        <f t="shared" si="1"/>
        <v>22.484344256918956</v>
      </c>
      <c r="Q29" s="90">
        <f t="shared" si="2"/>
        <v>0</v>
      </c>
    </row>
    <row r="30" spans="1:17" x14ac:dyDescent="0.25">
      <c r="H30" s="20">
        <f t="shared" si="3"/>
        <v>2044</v>
      </c>
      <c r="I30" s="36"/>
      <c r="J30" s="36"/>
      <c r="K30" s="82">
        <f t="shared" si="8"/>
        <v>3.1282360401889697E-3</v>
      </c>
      <c r="L30" s="84">
        <f t="shared" si="9"/>
        <v>0.90973738907020341</v>
      </c>
      <c r="M30" s="87">
        <f t="shared" si="6"/>
        <v>1</v>
      </c>
      <c r="N30" s="30">
        <f t="shared" ref="N30:N31" si="10">N29*(1+K30*M30)</f>
        <v>7244.9124515075537</v>
      </c>
      <c r="O30" s="100">
        <f t="shared" si="0"/>
        <v>0</v>
      </c>
      <c r="P30" s="101">
        <f t="shared" si="1"/>
        <v>22.754156388001981</v>
      </c>
      <c r="Q30" s="90">
        <f t="shared" si="2"/>
        <v>0</v>
      </c>
    </row>
    <row r="31" spans="1:17" x14ac:dyDescent="0.25">
      <c r="H31" s="20">
        <f t="shared" si="3"/>
        <v>2045</v>
      </c>
      <c r="I31" s="36"/>
      <c r="J31" s="36"/>
      <c r="K31" s="82">
        <f t="shared" si="8"/>
        <v>3.1282360401889697E-3</v>
      </c>
      <c r="L31" s="84">
        <f t="shared" si="9"/>
        <v>0.91258326235780018</v>
      </c>
      <c r="M31" s="87">
        <f t="shared" si="6"/>
        <v>1</v>
      </c>
      <c r="N31" s="30">
        <f t="shared" si="10"/>
        <v>7267.5762477463732</v>
      </c>
      <c r="O31" s="100">
        <f t="shared" si="0"/>
        <v>0</v>
      </c>
      <c r="P31" s="101">
        <f t="shared" si="1"/>
        <v>23.027206264658005</v>
      </c>
      <c r="Q31" s="90">
        <f t="shared" si="2"/>
        <v>0</v>
      </c>
    </row>
    <row r="32" spans="1:17" x14ac:dyDescent="0.25">
      <c r="H32" s="20">
        <f t="shared" si="3"/>
        <v>2046</v>
      </c>
      <c r="I32" s="36"/>
      <c r="J32" s="36"/>
      <c r="K32" s="82">
        <f t="shared" si="8"/>
        <v>3.1282360401889697E-3</v>
      </c>
      <c r="L32" s="84">
        <f t="shared" si="9"/>
        <v>0.91543803820878111</v>
      </c>
      <c r="M32" s="87">
        <f t="shared" si="6"/>
        <v>1</v>
      </c>
      <c r="N32" s="30">
        <f t="shared" ref="N32:N36" si="11">N31*(1+K32*M32)</f>
        <v>7290.3109416893949</v>
      </c>
      <c r="O32" s="100">
        <f t="shared" si="0"/>
        <v>0</v>
      </c>
      <c r="P32" s="101">
        <f t="shared" si="1"/>
        <v>23.303532739833908</v>
      </c>
      <c r="Q32" s="90">
        <f t="shared" si="2"/>
        <v>0</v>
      </c>
    </row>
    <row r="33" spans="1:17" x14ac:dyDescent="0.25">
      <c r="H33" s="20">
        <f t="shared" si="3"/>
        <v>2047</v>
      </c>
      <c r="I33" s="36"/>
      <c r="J33" s="36"/>
      <c r="K33" s="82">
        <f t="shared" si="8"/>
        <v>3.1282360401889697E-3</v>
      </c>
      <c r="L33" s="84">
        <f t="shared" si="9"/>
        <v>0.91830174447246571</v>
      </c>
      <c r="M33" s="87">
        <f t="shared" si="6"/>
        <v>1</v>
      </c>
      <c r="N33" s="30">
        <f t="shared" si="11"/>
        <v>7313.1167551213721</v>
      </c>
      <c r="O33" s="100">
        <f t="shared" si="0"/>
        <v>0</v>
      </c>
      <c r="P33" s="101">
        <f t="shared" si="1"/>
        <v>23.583175132711911</v>
      </c>
      <c r="Q33" s="90">
        <f t="shared" si="2"/>
        <v>0</v>
      </c>
    </row>
    <row r="34" spans="1:17" x14ac:dyDescent="0.25">
      <c r="H34" s="20">
        <f t="shared" si="3"/>
        <v>2048</v>
      </c>
      <c r="I34" s="36"/>
      <c r="J34" s="36"/>
      <c r="K34" s="82">
        <f t="shared" si="8"/>
        <v>3.1282360401889697E-3</v>
      </c>
      <c r="L34" s="84">
        <f t="shared" si="9"/>
        <v>0.92117440908529291</v>
      </c>
      <c r="M34" s="87">
        <f t="shared" si="6"/>
        <v>1</v>
      </c>
      <c r="N34" s="30">
        <f t="shared" si="11"/>
        <v>7335.9939105208523</v>
      </c>
      <c r="O34" s="100">
        <f t="shared" si="0"/>
        <v>0</v>
      </c>
      <c r="P34" s="101">
        <f t="shared" si="1"/>
        <v>23.866173234304451</v>
      </c>
      <c r="Q34" s="90">
        <f t="shared" si="2"/>
        <v>0</v>
      </c>
    </row>
    <row r="35" spans="1:17" x14ac:dyDescent="0.25">
      <c r="H35" s="20">
        <f t="shared" si="3"/>
        <v>2049</v>
      </c>
      <c r="I35" s="36"/>
      <c r="J35" s="36"/>
      <c r="K35" s="82">
        <f t="shared" si="8"/>
        <v>3.1282360401889697E-3</v>
      </c>
      <c r="L35" s="84">
        <f t="shared" si="9"/>
        <v>0.92405606007109331</v>
      </c>
      <c r="M35" s="87">
        <f t="shared" si="6"/>
        <v>1</v>
      </c>
      <c r="N35" s="30">
        <f t="shared" si="11"/>
        <v>7358.9426310623503</v>
      </c>
      <c r="O35" s="100">
        <f t="shared" si="0"/>
        <v>0</v>
      </c>
      <c r="P35" s="101">
        <f t="shared" si="1"/>
        <v>24.152567313116105</v>
      </c>
      <c r="Q35" s="90">
        <f t="shared" si="2"/>
        <v>0</v>
      </c>
    </row>
    <row r="36" spans="1:17" x14ac:dyDescent="0.25">
      <c r="H36" s="20">
        <f t="shared" si="3"/>
        <v>2050</v>
      </c>
      <c r="I36" s="36"/>
      <c r="J36" s="36"/>
      <c r="K36" s="82">
        <f t="shared" si="8"/>
        <v>3.1282360401889697E-3</v>
      </c>
      <c r="L36" s="84">
        <f t="shared" si="9"/>
        <v>0.9269467255413627</v>
      </c>
      <c r="M36" s="87">
        <f t="shared" si="6"/>
        <v>1</v>
      </c>
      <c r="N36" s="30">
        <f t="shared" si="11"/>
        <v>7381.9631406185226</v>
      </c>
      <c r="O36" s="100">
        <f t="shared" si="0"/>
        <v>0</v>
      </c>
      <c r="P36" s="101">
        <f t="shared" si="1"/>
        <v>24.442398120873499</v>
      </c>
      <c r="Q36" s="90">
        <f t="shared" si="2"/>
        <v>0</v>
      </c>
    </row>
    <row r="40" spans="1:17" x14ac:dyDescent="0.25">
      <c r="A40" s="11"/>
    </row>
    <row r="41" spans="1:17" x14ac:dyDescent="0.25">
      <c r="A41" s="11"/>
    </row>
  </sheetData>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zoomScaleNormal="100" workbookViewId="0">
      <selection activeCell="B14" sqref="B14"/>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140</v>
      </c>
    </row>
    <row r="4" spans="2:3" x14ac:dyDescent="0.25">
      <c r="B4" s="4" t="s">
        <v>37</v>
      </c>
    </row>
    <row r="5" spans="2:3" x14ac:dyDescent="0.25">
      <c r="B5" s="49" t="s">
        <v>40</v>
      </c>
      <c r="C5" s="55">
        <v>2015</v>
      </c>
    </row>
    <row r="6" spans="2:3" x14ac:dyDescent="0.25">
      <c r="B6" s="49" t="s">
        <v>41</v>
      </c>
      <c r="C6" s="75" t="s">
        <v>96</v>
      </c>
    </row>
    <row r="7" spans="2:3" x14ac:dyDescent="0.25">
      <c r="B7" s="49" t="s">
        <v>142</v>
      </c>
      <c r="C7" s="56" t="s">
        <v>48</v>
      </c>
    </row>
    <row r="8" spans="2:3" x14ac:dyDescent="0.25">
      <c r="B8" s="49" t="s">
        <v>141</v>
      </c>
      <c r="C8" s="74">
        <f>'GDP Deflators'!P5-1</f>
        <v>2.0832073567924381E-2</v>
      </c>
    </row>
    <row r="9" spans="2:3" x14ac:dyDescent="0.25">
      <c r="B9" s="39"/>
      <c r="C9" s="40"/>
    </row>
    <row r="10" spans="2:3" x14ac:dyDescent="0.25">
      <c r="B10" s="41" t="s">
        <v>97</v>
      </c>
      <c r="C10" s="40"/>
    </row>
    <row r="11" spans="2:3" x14ac:dyDescent="0.25">
      <c r="B11" s="49" t="s">
        <v>98</v>
      </c>
      <c r="C11" s="80">
        <f>'Value of Statistical Life'!F10</f>
        <v>9587302.7263098899</v>
      </c>
    </row>
    <row r="12" spans="2:3" x14ac:dyDescent="0.25">
      <c r="B12" s="106" t="s">
        <v>116</v>
      </c>
      <c r="C12" s="107"/>
    </row>
    <row r="14" spans="2:3" x14ac:dyDescent="0.25">
      <c r="B14" s="41" t="s">
        <v>38</v>
      </c>
      <c r="C14" s="40"/>
    </row>
    <row r="15" spans="2:3" x14ac:dyDescent="0.25">
      <c r="B15" s="49" t="s">
        <v>87</v>
      </c>
      <c r="C15" s="54">
        <f>'Value of Travel Time'!D21</f>
        <v>16.100000000000001</v>
      </c>
    </row>
    <row r="16" spans="2:3" x14ac:dyDescent="0.25">
      <c r="B16" s="96" t="s">
        <v>137</v>
      </c>
      <c r="C16" s="97">
        <v>1.2E-2</v>
      </c>
    </row>
    <row r="18" spans="2:3" x14ac:dyDescent="0.25">
      <c r="B18" s="41" t="s">
        <v>39</v>
      </c>
    </row>
    <row r="19" spans="2:3" x14ac:dyDescent="0.25">
      <c r="B19" s="51" t="s">
        <v>89</v>
      </c>
      <c r="C19" s="52">
        <f>'Value of Emissions'!D4</f>
        <v>2083.1541467275511</v>
      </c>
    </row>
    <row r="20" spans="2:3" x14ac:dyDescent="0.25">
      <c r="B20" s="51" t="s">
        <v>90</v>
      </c>
      <c r="C20" s="52">
        <f>'Value of Emissions'!D5</f>
        <v>8208.6069103416321</v>
      </c>
    </row>
    <row r="21" spans="2:3" x14ac:dyDescent="0.25">
      <c r="B21" s="49" t="s">
        <v>52</v>
      </c>
      <c r="C21" s="53">
        <f>(0.267383+0.37942)/2</f>
        <v>0.32340150000000001</v>
      </c>
    </row>
    <row r="22" spans="2:3" x14ac:dyDescent="0.25">
      <c r="B22" s="49" t="s">
        <v>53</v>
      </c>
      <c r="C22" s="53">
        <f>(0.183428+0.198698)/2</f>
        <v>0.19106300000000001</v>
      </c>
    </row>
    <row r="23" spans="2:3" ht="63.75" x14ac:dyDescent="0.25">
      <c r="B23" s="49" t="s">
        <v>49</v>
      </c>
      <c r="C23" s="50" t="s">
        <v>50</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77</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78</v>
      </c>
      <c r="C8" t="s">
        <v>4</v>
      </c>
      <c r="D8" s="1">
        <v>101057</v>
      </c>
      <c r="E8" s="3">
        <f t="shared" si="0"/>
        <v>4.7104291232300871E-3</v>
      </c>
    </row>
    <row r="9" spans="2:8" x14ac:dyDescent="0.25">
      <c r="B9" t="s">
        <v>79</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143</v>
      </c>
    </row>
    <row r="17" spans="2:4" x14ac:dyDescent="0.25">
      <c r="C17" s="8" t="s">
        <v>69</v>
      </c>
      <c r="D17" s="8" t="s">
        <v>86</v>
      </c>
    </row>
    <row r="18" spans="2:4" x14ac:dyDescent="0.25">
      <c r="B18" s="6" t="s">
        <v>7</v>
      </c>
      <c r="C18" s="7">
        <v>12.42</v>
      </c>
      <c r="D18" s="57">
        <f>C18*(1+'Assumed Values'!$C$16)^(2015-2013)</f>
        <v>12.719868479999999</v>
      </c>
    </row>
    <row r="19" spans="2:4" x14ac:dyDescent="0.25">
      <c r="B19" s="6" t="s">
        <v>8</v>
      </c>
      <c r="C19" s="7">
        <v>25.23</v>
      </c>
      <c r="D19" s="57">
        <f>C19*(1+'Assumed Values'!$C$16)^(2015-2013)</f>
        <v>25.839153119999999</v>
      </c>
    </row>
    <row r="20" spans="2:4" x14ac:dyDescent="0.25">
      <c r="B20" s="6" t="s">
        <v>4</v>
      </c>
      <c r="C20" s="7">
        <v>25.75</v>
      </c>
      <c r="D20" s="57">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zoomScale="85" zoomScaleNormal="85" workbookViewId="0">
      <selection activeCell="F5" sqref="F5"/>
    </sheetView>
  </sheetViews>
  <sheetFormatPr defaultRowHeight="15" x14ac:dyDescent="0.2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x14ac:dyDescent="0.25">
      <c r="B2" s="5" t="s">
        <v>144</v>
      </c>
    </row>
    <row r="4" spans="2:6" x14ac:dyDescent="0.25">
      <c r="B4" s="76" t="s">
        <v>99</v>
      </c>
      <c r="C4" s="76" t="s">
        <v>100</v>
      </c>
      <c r="D4" s="76" t="s">
        <v>101</v>
      </c>
      <c r="E4" s="76" t="s">
        <v>102</v>
      </c>
      <c r="F4" s="76" t="s">
        <v>115</v>
      </c>
    </row>
    <row r="5" spans="2:6" x14ac:dyDescent="0.25">
      <c r="B5" s="77" t="s">
        <v>103</v>
      </c>
      <c r="C5" s="77" t="s">
        <v>104</v>
      </c>
      <c r="D5" s="79">
        <v>3.0000000000000001E-3</v>
      </c>
      <c r="E5" s="78">
        <v>27600</v>
      </c>
      <c r="F5" s="78">
        <f>E5*(1+'Assumed Values'!$C$8)^(2015-2013)</f>
        <v>28761.908178929672</v>
      </c>
    </row>
    <row r="6" spans="2:6" x14ac:dyDescent="0.25">
      <c r="B6" s="77" t="s">
        <v>105</v>
      </c>
      <c r="C6" s="77" t="s">
        <v>106</v>
      </c>
      <c r="D6" s="79">
        <v>4.7E-2</v>
      </c>
      <c r="E6" s="78">
        <v>432400</v>
      </c>
      <c r="F6" s="78">
        <f>E6*(1+'Assumed Values'!$C$8)^(2015-2013)</f>
        <v>450603.22813656484</v>
      </c>
    </row>
    <row r="7" spans="2:6" x14ac:dyDescent="0.25">
      <c r="B7" s="77" t="s">
        <v>107</v>
      </c>
      <c r="C7" s="77" t="s">
        <v>108</v>
      </c>
      <c r="D7" s="79">
        <v>0.105</v>
      </c>
      <c r="E7" s="78">
        <v>966000</v>
      </c>
      <c r="F7" s="78">
        <f>E7*(1+'Assumed Values'!$C$8)^(2015-2013)</f>
        <v>1006666.7862625385</v>
      </c>
    </row>
    <row r="8" spans="2:6" x14ac:dyDescent="0.25">
      <c r="B8" s="77" t="s">
        <v>109</v>
      </c>
      <c r="C8" s="77" t="s">
        <v>110</v>
      </c>
      <c r="D8" s="79">
        <v>0.26600000000000001</v>
      </c>
      <c r="E8" s="78">
        <v>2447200</v>
      </c>
      <c r="F8" s="78">
        <f>E8*(1+'Assumed Values'!$C$8)^(2015-2013)</f>
        <v>2550222.5251984308</v>
      </c>
    </row>
    <row r="9" spans="2:6" x14ac:dyDescent="0.25">
      <c r="B9" s="77" t="s">
        <v>111</v>
      </c>
      <c r="C9" s="77" t="s">
        <v>112</v>
      </c>
      <c r="D9" s="79">
        <v>0.59299999999999997</v>
      </c>
      <c r="E9" s="78">
        <v>5455600</v>
      </c>
      <c r="F9" s="78">
        <f>E9*(1+'Assumed Values'!$C$8)^(2015-2013)</f>
        <v>5685270.5167017654</v>
      </c>
    </row>
    <row r="10" spans="2:6" x14ac:dyDescent="0.25">
      <c r="B10" s="77" t="s">
        <v>113</v>
      </c>
      <c r="C10" s="77" t="s">
        <v>114</v>
      </c>
      <c r="D10" s="79">
        <v>1</v>
      </c>
      <c r="E10" s="78">
        <v>9200000</v>
      </c>
      <c r="F10" s="78">
        <f>E10*(1+'Assumed Values'!$C$8)^(2015-2013)</f>
        <v>9587302.7263098899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25">
      <c r="B1" s="5" t="s">
        <v>51</v>
      </c>
    </row>
    <row r="2" spans="2:4" x14ac:dyDescent="0.25">
      <c r="B2" s="5"/>
    </row>
    <row r="3" spans="2:4" x14ac:dyDescent="0.25">
      <c r="B3" s="58" t="s">
        <v>10</v>
      </c>
      <c r="C3" s="58" t="s">
        <v>80</v>
      </c>
      <c r="D3" s="58" t="s">
        <v>88</v>
      </c>
    </row>
    <row r="4" spans="2:4" x14ac:dyDescent="0.25">
      <c r="B4" s="51" t="s">
        <v>11</v>
      </c>
      <c r="C4" s="73">
        <v>1999</v>
      </c>
      <c r="D4" s="73">
        <f>C4*(1+'Assumed Values'!$C$8)^(2015-2013)</f>
        <v>2083.1541467275511</v>
      </c>
    </row>
    <row r="5" spans="2:4" x14ac:dyDescent="0.25">
      <c r="B5" s="51" t="s">
        <v>12</v>
      </c>
      <c r="C5" s="52">
        <v>7877</v>
      </c>
      <c r="D5" s="73">
        <f>C5*(1+'Assumed Values'!$C$8)^(2015-2013)</f>
        <v>8208.6069103416321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31</vt:i4>
      </vt:variant>
    </vt:vector>
  </HeadingPairs>
  <TitlesOfParts>
    <vt:vector size="41" baseType="lpstr">
      <vt:lpstr>Instructions</vt:lpstr>
      <vt:lpstr>ITS Delay Worksheet</vt:lpstr>
      <vt:lpstr>Emissions Reduction Worksheet</vt:lpstr>
      <vt:lpstr>Inputs &amp; Outputs</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_2018_Capacity</vt:lpstr>
      <vt:lpstr>_2018_V_C_Ratio</vt:lpstr>
      <vt:lpstr>_2018_Volume</vt:lpstr>
      <vt:lpstr>_2025_2040_Demand_Growth</vt:lpstr>
      <vt:lpstr>_2025_2040_V_C_Growth</vt:lpstr>
      <vt:lpstr>_2025_Capacity</vt:lpstr>
      <vt:lpstr>_2025_V_C_Ratio</vt:lpstr>
      <vt:lpstr>_2025_Volume</vt:lpstr>
      <vt:lpstr>_2040_Capacity</vt:lpstr>
      <vt:lpstr>_2040_V_C_Ratio</vt:lpstr>
      <vt:lpstr>_2040_Volume</vt:lpstr>
      <vt:lpstr>Annual_Days_of_Travel</vt:lpstr>
      <vt:lpstr>Application_ID_Number</vt:lpstr>
      <vt:lpstr>Base_Year</vt:lpstr>
      <vt:lpstr>Name</vt:lpstr>
      <vt:lpstr>'Assumed Values'!Print_Area</vt:lpstr>
      <vt:lpstr>Calculations!Print_Area</vt:lpstr>
      <vt:lpstr>'Emissions Reduction Worksheet'!Print_Area</vt:lpstr>
      <vt:lpstr>'Inputs &amp; Outputs'!Print_Area</vt:lpstr>
      <vt:lpstr>Instructions!Print_Area</vt:lpstr>
      <vt:lpstr>'ITS Delay Worksheet'!Print_Area</vt:lpstr>
      <vt:lpstr>Real_wage_growth_rate</vt:lpstr>
      <vt:lpstr>Sponsor_ID_Number__CSJ__etc.</vt:lpstr>
      <vt:lpstr>Value_of_Travel_Time__VoTT___2015</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Bin Wang</cp:lastModifiedBy>
  <cp:lastPrinted>2014-11-11T16:55:33Z</cp:lastPrinted>
  <dcterms:created xsi:type="dcterms:W3CDTF">2012-07-25T15:48:32Z</dcterms:created>
  <dcterms:modified xsi:type="dcterms:W3CDTF">2015-01-06T20:43:49Z</dcterms:modified>
</cp:coreProperties>
</file>