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2525"/>
  </bookViews>
  <sheets>
    <sheet name="Title" sheetId="1" r:id="rId1"/>
    <sheet name="Contents" sheetId="10" r:id="rId2"/>
    <sheet name="Summary" sheetId="2" r:id="rId3"/>
    <sheet name="Benefits Estimate" sheetId="6" r:id="rId4"/>
    <sheet name="Cost Estimate" sheetId="5" r:id="rId5"/>
    <sheet name="Parameters" sheetId="3" r:id="rId6"/>
    <sheet name="Sub of train for truck data" sheetId="8" r:id="rId7"/>
    <sheet name="Idle Cost Back Up" sheetId="9" r:id="rId8"/>
  </sheets>
  <definedNames>
    <definedName name="CES_Code">Parameters!$B$11:$B$42</definedName>
    <definedName name="CES_Description">Parameters!$C$11:$C$42</definedName>
    <definedName name="CES_Pick">Parameters!$E$11:$E$42</definedName>
    <definedName name="CES_Short">Parameters!$F$11:$F$42</definedName>
    <definedName name="Discount_1">Parameters!$C$326</definedName>
    <definedName name="Discount_2">Parameters!$C$327</definedName>
    <definedName name="Start_Year">Parameters!$C$5</definedName>
  </definedNames>
  <calcPr calcId="145621"/>
</workbook>
</file>

<file path=xl/calcChain.xml><?xml version="1.0" encoding="utf-8"?>
<calcChain xmlns="http://schemas.openxmlformats.org/spreadsheetml/2006/main">
  <c r="C20" i="1" l="1"/>
  <c r="C18" i="2" l="1"/>
  <c r="F25" i="2" l="1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E25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E13" i="2"/>
  <c r="K319" i="3"/>
  <c r="L319" i="3"/>
  <c r="M319" i="3"/>
  <c r="N319" i="3"/>
  <c r="O319" i="3"/>
  <c r="P319" i="3"/>
  <c r="Q319" i="3"/>
  <c r="R319" i="3"/>
  <c r="S319" i="3"/>
  <c r="T319" i="3"/>
  <c r="U319" i="3"/>
  <c r="V319" i="3"/>
  <c r="W319" i="3"/>
  <c r="X319" i="3"/>
  <c r="Y319" i="3"/>
  <c r="Z319" i="3"/>
  <c r="AA319" i="3"/>
  <c r="AB319" i="3"/>
  <c r="AC319" i="3"/>
  <c r="AD319" i="3"/>
  <c r="AE319" i="3"/>
  <c r="AF319" i="3"/>
  <c r="AG319" i="3"/>
  <c r="AH319" i="3"/>
  <c r="AI319" i="3"/>
  <c r="AJ319" i="3"/>
  <c r="AK319" i="3"/>
  <c r="AL319" i="3"/>
  <c r="AM319" i="3"/>
  <c r="J319" i="3"/>
  <c r="D313" i="3"/>
  <c r="AA510" i="3"/>
  <c r="Z510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479" i="3"/>
  <c r="Z479" i="3"/>
  <c r="Z480" i="3"/>
  <c r="Z481" i="3"/>
  <c r="Z482" i="3"/>
  <c r="Z483" i="3"/>
  <c r="Z484" i="3"/>
  <c r="Z485" i="3"/>
  <c r="Z486" i="3"/>
  <c r="Z487" i="3"/>
  <c r="Z488" i="3"/>
  <c r="Z489" i="3"/>
  <c r="Z490" i="3"/>
  <c r="Z491" i="3"/>
  <c r="Z492" i="3"/>
  <c r="Z493" i="3"/>
  <c r="Z494" i="3"/>
  <c r="Z495" i="3"/>
  <c r="Z496" i="3"/>
  <c r="Z497" i="3"/>
  <c r="Z498" i="3"/>
  <c r="Z499" i="3"/>
  <c r="Z500" i="3"/>
  <c r="Z501" i="3"/>
  <c r="Z502" i="3"/>
  <c r="Z503" i="3"/>
  <c r="Z504" i="3"/>
  <c r="Z505" i="3"/>
  <c r="Z506" i="3"/>
  <c r="Z507" i="3"/>
  <c r="Z508" i="3"/>
  <c r="K357" i="3"/>
  <c r="L357" i="3"/>
  <c r="M357" i="3"/>
  <c r="N357" i="3"/>
  <c r="O357" i="3"/>
  <c r="P357" i="3"/>
  <c r="Q357" i="3"/>
  <c r="R357" i="3"/>
  <c r="S357" i="3"/>
  <c r="T357" i="3"/>
  <c r="U357" i="3"/>
  <c r="V357" i="3"/>
  <c r="W357" i="3"/>
  <c r="X357" i="3"/>
  <c r="Y357" i="3"/>
  <c r="Z357" i="3"/>
  <c r="AA357" i="3"/>
  <c r="AB357" i="3"/>
  <c r="AC357" i="3"/>
  <c r="AD357" i="3"/>
  <c r="AE357" i="3"/>
  <c r="AF357" i="3"/>
  <c r="AG357" i="3"/>
  <c r="AH357" i="3"/>
  <c r="AI357" i="3"/>
  <c r="AJ357" i="3"/>
  <c r="AK357" i="3"/>
  <c r="AL357" i="3"/>
  <c r="AM357" i="3"/>
  <c r="J357" i="3"/>
  <c r="K356" i="3"/>
  <c r="L356" i="3"/>
  <c r="M356" i="3"/>
  <c r="N356" i="3"/>
  <c r="O356" i="3"/>
  <c r="P356" i="3"/>
  <c r="Q356" i="3"/>
  <c r="R356" i="3"/>
  <c r="S356" i="3"/>
  <c r="T356" i="3"/>
  <c r="U356" i="3"/>
  <c r="V356" i="3"/>
  <c r="W356" i="3"/>
  <c r="X356" i="3"/>
  <c r="Y356" i="3"/>
  <c r="Z356" i="3"/>
  <c r="AA356" i="3"/>
  <c r="AB356" i="3"/>
  <c r="AC356" i="3"/>
  <c r="AD356" i="3"/>
  <c r="AE356" i="3"/>
  <c r="AF356" i="3"/>
  <c r="AG356" i="3"/>
  <c r="AH356" i="3"/>
  <c r="AI356" i="3"/>
  <c r="AJ356" i="3"/>
  <c r="AK356" i="3"/>
  <c r="AL356" i="3"/>
  <c r="AM356" i="3"/>
  <c r="J356" i="3"/>
  <c r="H356" i="3"/>
  <c r="H357" i="3"/>
  <c r="K351" i="3"/>
  <c r="L351" i="3"/>
  <c r="M351" i="3"/>
  <c r="N351" i="3"/>
  <c r="O351" i="3"/>
  <c r="P351" i="3"/>
  <c r="Q351" i="3"/>
  <c r="R351" i="3"/>
  <c r="S351" i="3"/>
  <c r="T351" i="3"/>
  <c r="U351" i="3"/>
  <c r="V351" i="3"/>
  <c r="W351" i="3"/>
  <c r="X351" i="3"/>
  <c r="Y351" i="3"/>
  <c r="Z351" i="3"/>
  <c r="AA351" i="3"/>
  <c r="AB351" i="3"/>
  <c r="AC351" i="3"/>
  <c r="AD351" i="3"/>
  <c r="AE351" i="3"/>
  <c r="AF351" i="3"/>
  <c r="AG351" i="3"/>
  <c r="AH351" i="3"/>
  <c r="AI351" i="3"/>
  <c r="AJ351" i="3"/>
  <c r="AK351" i="3"/>
  <c r="AL351" i="3"/>
  <c r="AM351" i="3"/>
  <c r="J351" i="3"/>
  <c r="K350" i="3"/>
  <c r="L350" i="3"/>
  <c r="M350" i="3"/>
  <c r="N350" i="3"/>
  <c r="O350" i="3"/>
  <c r="P350" i="3"/>
  <c r="Q350" i="3"/>
  <c r="R350" i="3"/>
  <c r="S350" i="3"/>
  <c r="T350" i="3"/>
  <c r="U350" i="3"/>
  <c r="V350" i="3"/>
  <c r="W350" i="3"/>
  <c r="X350" i="3"/>
  <c r="Y350" i="3"/>
  <c r="Z350" i="3"/>
  <c r="AA350" i="3"/>
  <c r="AB350" i="3"/>
  <c r="AC350" i="3"/>
  <c r="AD350" i="3"/>
  <c r="AE350" i="3"/>
  <c r="AF350" i="3"/>
  <c r="AG350" i="3"/>
  <c r="AH350" i="3"/>
  <c r="AI350" i="3"/>
  <c r="AJ350" i="3"/>
  <c r="AK350" i="3"/>
  <c r="AL350" i="3"/>
  <c r="AM350" i="3"/>
  <c r="J350" i="3"/>
  <c r="H350" i="3"/>
  <c r="H351" i="3"/>
  <c r="H349" i="3"/>
  <c r="J335" i="3"/>
  <c r="J337" i="3"/>
  <c r="H413" i="3"/>
  <c r="I413" i="3"/>
  <c r="I419" i="3"/>
  <c r="J413" i="3"/>
  <c r="J419" i="3"/>
  <c r="K413" i="3"/>
  <c r="K419" i="3"/>
  <c r="L417" i="3"/>
  <c r="L413" i="3"/>
  <c r="L419" i="3"/>
  <c r="M417" i="3"/>
  <c r="M413" i="3"/>
  <c r="M419" i="3"/>
  <c r="N417" i="3"/>
  <c r="N413" i="3"/>
  <c r="N419" i="3"/>
  <c r="O417" i="3"/>
  <c r="O413" i="3"/>
  <c r="O419" i="3"/>
  <c r="P417" i="3"/>
  <c r="P413" i="3"/>
  <c r="P419" i="3"/>
  <c r="Q417" i="3"/>
  <c r="Q413" i="3"/>
  <c r="Q419" i="3"/>
  <c r="R417" i="3"/>
  <c r="R413" i="3"/>
  <c r="R419" i="3"/>
  <c r="S417" i="3"/>
  <c r="S413" i="3"/>
  <c r="S419" i="3"/>
  <c r="T417" i="3"/>
  <c r="T413" i="3"/>
  <c r="T419" i="3"/>
  <c r="U417" i="3"/>
  <c r="U413" i="3"/>
  <c r="U419" i="3"/>
  <c r="V417" i="3"/>
  <c r="V413" i="3"/>
  <c r="V419" i="3"/>
  <c r="W417" i="3"/>
  <c r="W413" i="3"/>
  <c r="W419" i="3"/>
  <c r="X417" i="3"/>
  <c r="X413" i="3"/>
  <c r="X419" i="3"/>
  <c r="Y417" i="3"/>
  <c r="Y413" i="3"/>
  <c r="Y419" i="3"/>
  <c r="Z417" i="3"/>
  <c r="Z413" i="3"/>
  <c r="Z419" i="3"/>
  <c r="AA417" i="3"/>
  <c r="AA413" i="3"/>
  <c r="AA419" i="3"/>
  <c r="AB417" i="3"/>
  <c r="AB413" i="3"/>
  <c r="AB419" i="3"/>
  <c r="AC417" i="3"/>
  <c r="AC413" i="3"/>
  <c r="AC419" i="3"/>
  <c r="AD417" i="3"/>
  <c r="AD413" i="3"/>
  <c r="AD419" i="3"/>
  <c r="AE417" i="3"/>
  <c r="AE413" i="3"/>
  <c r="AE419" i="3"/>
  <c r="AF417" i="3"/>
  <c r="AF413" i="3"/>
  <c r="AF419" i="3"/>
  <c r="AG417" i="3"/>
  <c r="AG413" i="3"/>
  <c r="AG419" i="3"/>
  <c r="AH417" i="3"/>
  <c r="AH413" i="3"/>
  <c r="AH419" i="3"/>
  <c r="AI417" i="3"/>
  <c r="AI413" i="3"/>
  <c r="AI419" i="3"/>
  <c r="AJ417" i="3"/>
  <c r="AJ413" i="3"/>
  <c r="AJ419" i="3"/>
  <c r="AK417" i="3"/>
  <c r="AK413" i="3"/>
  <c r="AK419" i="3"/>
  <c r="H419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AA418" i="3"/>
  <c r="AB418" i="3"/>
  <c r="AC418" i="3"/>
  <c r="AD418" i="3"/>
  <c r="AE418" i="3"/>
  <c r="AF418" i="3"/>
  <c r="AG418" i="3"/>
  <c r="AH418" i="3"/>
  <c r="AI418" i="3"/>
  <c r="AJ418" i="3"/>
  <c r="AK418" i="3"/>
  <c r="F419" i="3"/>
  <c r="F418" i="3"/>
  <c r="J330" i="3"/>
  <c r="J339" i="3"/>
  <c r="K337" i="3"/>
  <c r="K330" i="3"/>
  <c r="K339" i="3"/>
  <c r="L330" i="3"/>
  <c r="L339" i="3"/>
  <c r="M330" i="3"/>
  <c r="M339" i="3"/>
  <c r="N335" i="3"/>
  <c r="N337" i="3"/>
  <c r="N330" i="3"/>
  <c r="N339" i="3"/>
  <c r="O335" i="3"/>
  <c r="O337" i="3"/>
  <c r="O330" i="3"/>
  <c r="O339" i="3"/>
  <c r="P335" i="3"/>
  <c r="P337" i="3"/>
  <c r="P330" i="3"/>
  <c r="P339" i="3"/>
  <c r="Q335" i="3"/>
  <c r="Q337" i="3"/>
  <c r="Q330" i="3"/>
  <c r="Q339" i="3"/>
  <c r="R335" i="3"/>
  <c r="R337" i="3"/>
  <c r="R330" i="3"/>
  <c r="R339" i="3"/>
  <c r="S335" i="3"/>
  <c r="S337" i="3"/>
  <c r="S330" i="3"/>
  <c r="S339" i="3"/>
  <c r="T335" i="3"/>
  <c r="T337" i="3"/>
  <c r="T330" i="3"/>
  <c r="T339" i="3"/>
  <c r="U335" i="3"/>
  <c r="U337" i="3"/>
  <c r="U330" i="3"/>
  <c r="U339" i="3"/>
  <c r="V335" i="3"/>
  <c r="V337" i="3"/>
  <c r="V330" i="3"/>
  <c r="V339" i="3"/>
  <c r="W335" i="3"/>
  <c r="W337" i="3"/>
  <c r="W330" i="3"/>
  <c r="W339" i="3"/>
  <c r="X335" i="3"/>
  <c r="X337" i="3"/>
  <c r="X330" i="3"/>
  <c r="X339" i="3"/>
  <c r="Y335" i="3"/>
  <c r="Y337" i="3"/>
  <c r="Y330" i="3"/>
  <c r="Y339" i="3"/>
  <c r="Z335" i="3"/>
  <c r="Z337" i="3"/>
  <c r="Z330" i="3"/>
  <c r="Z339" i="3"/>
  <c r="AA335" i="3"/>
  <c r="AA337" i="3"/>
  <c r="AA330" i="3"/>
  <c r="AA339" i="3"/>
  <c r="AB335" i="3"/>
  <c r="AB337" i="3"/>
  <c r="AB330" i="3"/>
  <c r="AB339" i="3"/>
  <c r="AC335" i="3"/>
  <c r="AC337" i="3"/>
  <c r="AC330" i="3"/>
  <c r="AC339" i="3"/>
  <c r="AD335" i="3"/>
  <c r="AD337" i="3"/>
  <c r="AD330" i="3"/>
  <c r="AD339" i="3"/>
  <c r="AE335" i="3"/>
  <c r="AE337" i="3"/>
  <c r="AE330" i="3"/>
  <c r="AE339" i="3"/>
  <c r="AF335" i="3"/>
  <c r="AF337" i="3"/>
  <c r="AF330" i="3"/>
  <c r="AF339" i="3"/>
  <c r="AG335" i="3"/>
  <c r="AG337" i="3"/>
  <c r="AG330" i="3"/>
  <c r="AG339" i="3"/>
  <c r="AH335" i="3"/>
  <c r="AH337" i="3"/>
  <c r="AH330" i="3"/>
  <c r="AH339" i="3"/>
  <c r="AI335" i="3"/>
  <c r="AI337" i="3"/>
  <c r="AI330" i="3"/>
  <c r="AI339" i="3"/>
  <c r="AJ335" i="3"/>
  <c r="AJ337" i="3"/>
  <c r="AJ330" i="3"/>
  <c r="AJ339" i="3"/>
  <c r="AK335" i="3"/>
  <c r="AK337" i="3"/>
  <c r="AK330" i="3"/>
  <c r="AK339" i="3"/>
  <c r="AL335" i="3"/>
  <c r="AL337" i="3"/>
  <c r="AL330" i="3"/>
  <c r="AL339" i="3"/>
  <c r="AM335" i="3"/>
  <c r="AM337" i="3"/>
  <c r="AM330" i="3"/>
  <c r="AM339" i="3"/>
  <c r="H339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AA338" i="3"/>
  <c r="AB338" i="3"/>
  <c r="AC338" i="3"/>
  <c r="AD338" i="3"/>
  <c r="AE338" i="3"/>
  <c r="AF338" i="3"/>
  <c r="AG338" i="3"/>
  <c r="AH338" i="3"/>
  <c r="AI338" i="3"/>
  <c r="AJ338" i="3"/>
  <c r="AK338" i="3"/>
  <c r="AL338" i="3"/>
  <c r="AM338" i="3"/>
  <c r="H338" i="3"/>
  <c r="B6" i="5" a="1"/>
  <c r="B7" i="5"/>
  <c r="J47" i="3"/>
  <c r="J54" i="3"/>
  <c r="K47" i="3"/>
  <c r="K54" i="3"/>
  <c r="L47" i="3"/>
  <c r="L54" i="3"/>
  <c r="M47" i="3"/>
  <c r="M54" i="3"/>
  <c r="N47" i="3"/>
  <c r="N54" i="3"/>
  <c r="O47" i="3"/>
  <c r="O54" i="3"/>
  <c r="P47" i="3"/>
  <c r="P54" i="3"/>
  <c r="Q47" i="3"/>
  <c r="Q54" i="3"/>
  <c r="R47" i="3"/>
  <c r="R54" i="3"/>
  <c r="S47" i="3"/>
  <c r="S54" i="3"/>
  <c r="T47" i="3"/>
  <c r="T54" i="3"/>
  <c r="U47" i="3"/>
  <c r="U54" i="3"/>
  <c r="V47" i="3"/>
  <c r="V54" i="3"/>
  <c r="W47" i="3"/>
  <c r="W54" i="3"/>
  <c r="X47" i="3"/>
  <c r="X54" i="3"/>
  <c r="Y47" i="3"/>
  <c r="Y54" i="3"/>
  <c r="Z47" i="3"/>
  <c r="Z54" i="3"/>
  <c r="AA47" i="3"/>
  <c r="AA54" i="3"/>
  <c r="AB47" i="3"/>
  <c r="AB54" i="3"/>
  <c r="AC47" i="3"/>
  <c r="AC54" i="3"/>
  <c r="J55" i="3"/>
  <c r="J5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J67" i="3"/>
  <c r="J68" i="3"/>
  <c r="F479" i="3" a="1"/>
  <c r="F479" i="3"/>
  <c r="G479" i="3"/>
  <c r="K344" i="3"/>
  <c r="F480" i="3"/>
  <c r="G480" i="3"/>
  <c r="L344" i="3"/>
  <c r="F481" i="3"/>
  <c r="G481" i="3"/>
  <c r="M344" i="3"/>
  <c r="F482" i="3"/>
  <c r="G482" i="3"/>
  <c r="N344" i="3"/>
  <c r="F483" i="3"/>
  <c r="G483" i="3"/>
  <c r="O344" i="3"/>
  <c r="F484" i="3"/>
  <c r="G484" i="3"/>
  <c r="P344" i="3"/>
  <c r="F485" i="3"/>
  <c r="G485" i="3"/>
  <c r="Q344" i="3"/>
  <c r="F486" i="3"/>
  <c r="G486" i="3"/>
  <c r="R344" i="3"/>
  <c r="F487" i="3"/>
  <c r="G487" i="3"/>
  <c r="S344" i="3"/>
  <c r="F488" i="3"/>
  <c r="G488" i="3"/>
  <c r="T344" i="3"/>
  <c r="F489" i="3"/>
  <c r="G489" i="3"/>
  <c r="U344" i="3"/>
  <c r="F490" i="3"/>
  <c r="G490" i="3"/>
  <c r="V344" i="3"/>
  <c r="F491" i="3"/>
  <c r="G491" i="3"/>
  <c r="W344" i="3"/>
  <c r="F492" i="3"/>
  <c r="G492" i="3"/>
  <c r="X344" i="3"/>
  <c r="F493" i="3"/>
  <c r="G493" i="3"/>
  <c r="Y344" i="3"/>
  <c r="F494" i="3"/>
  <c r="G494" i="3"/>
  <c r="Z344" i="3"/>
  <c r="F495" i="3"/>
  <c r="G495" i="3"/>
  <c r="AA344" i="3"/>
  <c r="F496" i="3"/>
  <c r="G496" i="3"/>
  <c r="AB344" i="3"/>
  <c r="F497" i="3"/>
  <c r="G497" i="3"/>
  <c r="AC344" i="3"/>
  <c r="F498" i="3"/>
  <c r="G498" i="3"/>
  <c r="F499" i="3"/>
  <c r="G499" i="3"/>
  <c r="F500" i="3"/>
  <c r="G500" i="3"/>
  <c r="F501" i="3"/>
  <c r="G501" i="3"/>
  <c r="F502" i="3"/>
  <c r="G502" i="3"/>
  <c r="F503" i="3"/>
  <c r="G503" i="3"/>
  <c r="F504" i="3"/>
  <c r="G504" i="3"/>
  <c r="F505" i="3"/>
  <c r="G505" i="3"/>
  <c r="F506" i="3"/>
  <c r="G506" i="3"/>
  <c r="F507" i="3"/>
  <c r="G507" i="3"/>
  <c r="F508" i="3"/>
  <c r="G508" i="3"/>
  <c r="J57" i="3"/>
  <c r="J59" i="3"/>
  <c r="J69" i="3"/>
  <c r="J71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J79" i="3"/>
  <c r="J80" i="3"/>
  <c r="J81" i="3"/>
  <c r="J83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J91" i="3"/>
  <c r="J92" i="3"/>
  <c r="J93" i="3"/>
  <c r="J95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J103" i="3"/>
  <c r="J104" i="3"/>
  <c r="J105" i="3"/>
  <c r="J107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J115" i="3"/>
  <c r="J116" i="3"/>
  <c r="J117" i="3"/>
  <c r="J119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J127" i="3"/>
  <c r="J128" i="3"/>
  <c r="J129" i="3"/>
  <c r="J131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J139" i="3"/>
  <c r="J140" i="3"/>
  <c r="J141" i="3"/>
  <c r="J143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J151" i="3"/>
  <c r="J152" i="3"/>
  <c r="J153" i="3"/>
  <c r="J155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J163" i="3"/>
  <c r="J164" i="3"/>
  <c r="J165" i="3"/>
  <c r="J167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J175" i="3"/>
  <c r="J176" i="3"/>
  <c r="J177" i="3"/>
  <c r="J179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J187" i="3"/>
  <c r="J188" i="3"/>
  <c r="J189" i="3"/>
  <c r="J191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J199" i="3"/>
  <c r="J200" i="3"/>
  <c r="J201" i="3"/>
  <c r="J203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J211" i="3"/>
  <c r="J212" i="3"/>
  <c r="J213" i="3"/>
  <c r="J215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J223" i="3"/>
  <c r="J224" i="3"/>
  <c r="J225" i="3"/>
  <c r="J227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J235" i="3"/>
  <c r="J236" i="3"/>
  <c r="J237" i="3"/>
  <c r="J239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J247" i="3"/>
  <c r="J248" i="3"/>
  <c r="J249" i="3"/>
  <c r="J251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J259" i="3"/>
  <c r="J260" i="3"/>
  <c r="J261" i="3"/>
  <c r="J263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J271" i="3"/>
  <c r="J272" i="3"/>
  <c r="J273" i="3"/>
  <c r="J275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AC282" i="3"/>
  <c r="J283" i="3"/>
  <c r="J284" i="3"/>
  <c r="J285" i="3"/>
  <c r="J287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AC294" i="3"/>
  <c r="J295" i="3"/>
  <c r="J296" i="3"/>
  <c r="J297" i="3"/>
  <c r="J299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J307" i="3"/>
  <c r="J308" i="3"/>
  <c r="J309" i="3"/>
  <c r="J311" i="3"/>
  <c r="J318" i="3"/>
  <c r="J320" i="3"/>
  <c r="J321" i="3"/>
  <c r="J333" i="3"/>
  <c r="J334" i="3"/>
  <c r="J342" i="3"/>
  <c r="J345" i="3"/>
  <c r="J346" i="3"/>
  <c r="J347" i="3"/>
  <c r="J348" i="3"/>
  <c r="J349" i="3"/>
  <c r="J354" i="3"/>
  <c r="J355" i="3"/>
  <c r="H422" i="3"/>
  <c r="I422" i="3"/>
  <c r="J422" i="3"/>
  <c r="J423" i="3"/>
  <c r="J424" i="3"/>
  <c r="J425" i="3"/>
  <c r="H429" i="3"/>
  <c r="I429" i="3"/>
  <c r="J429" i="3"/>
  <c r="E366" i="3"/>
  <c r="F366" i="3"/>
  <c r="G366" i="3"/>
  <c r="E367" i="3"/>
  <c r="F367" i="3"/>
  <c r="G367" i="3"/>
  <c r="E368" i="3"/>
  <c r="F368" i="3"/>
  <c r="G368" i="3"/>
  <c r="E369" i="3"/>
  <c r="F369" i="3"/>
  <c r="G369" i="3"/>
  <c r="E370" i="3"/>
  <c r="F370" i="3"/>
  <c r="G370" i="3"/>
  <c r="E371" i="3"/>
  <c r="F371" i="3"/>
  <c r="G371" i="3"/>
  <c r="D382" i="3"/>
  <c r="E382" i="3"/>
  <c r="F382" i="3"/>
  <c r="G382" i="3"/>
  <c r="D383" i="3"/>
  <c r="E383" i="3"/>
  <c r="F383" i="3"/>
  <c r="G383" i="3"/>
  <c r="D384" i="3"/>
  <c r="E384" i="3"/>
  <c r="F384" i="3"/>
  <c r="G384" i="3"/>
  <c r="D385" i="3"/>
  <c r="E385" i="3"/>
  <c r="F385" i="3"/>
  <c r="G385" i="3"/>
  <c r="E390" i="3"/>
  <c r="F390" i="3"/>
  <c r="G390" i="3"/>
  <c r="D391" i="3"/>
  <c r="E391" i="3"/>
  <c r="F391" i="3"/>
  <c r="G391" i="3"/>
  <c r="D392" i="3"/>
  <c r="E392" i="3"/>
  <c r="F392" i="3"/>
  <c r="G392" i="3"/>
  <c r="D393" i="3"/>
  <c r="E393" i="3"/>
  <c r="F393" i="3"/>
  <c r="G393" i="3"/>
  <c r="E398" i="3"/>
  <c r="F398" i="3"/>
  <c r="G398" i="3"/>
  <c r="D399" i="3"/>
  <c r="E399" i="3"/>
  <c r="F399" i="3"/>
  <c r="G399" i="3"/>
  <c r="D400" i="3"/>
  <c r="E400" i="3"/>
  <c r="F400" i="3"/>
  <c r="G400" i="3"/>
  <c r="D401" i="3"/>
  <c r="E401" i="3"/>
  <c r="F401" i="3"/>
  <c r="G401" i="3"/>
  <c r="E406" i="3"/>
  <c r="F406" i="3"/>
  <c r="G406" i="3"/>
  <c r="D407" i="3"/>
  <c r="E407" i="3"/>
  <c r="F407" i="3"/>
  <c r="G407" i="3"/>
  <c r="D408" i="3"/>
  <c r="E408" i="3"/>
  <c r="F408" i="3"/>
  <c r="G408" i="3"/>
  <c r="D409" i="3"/>
  <c r="E409" i="3"/>
  <c r="F409" i="3"/>
  <c r="G409" i="3"/>
  <c r="I398" i="3"/>
  <c r="I399" i="3"/>
  <c r="I400" i="3"/>
  <c r="I401" i="3"/>
  <c r="I402" i="3"/>
  <c r="K402" i="3"/>
  <c r="J417" i="3"/>
  <c r="J430" i="3"/>
  <c r="F7" i="5"/>
  <c r="B9" i="5"/>
  <c r="F9" i="5"/>
  <c r="B10" i="5"/>
  <c r="F10" i="5"/>
  <c r="B11" i="5"/>
  <c r="F11" i="5"/>
  <c r="F8" i="5"/>
  <c r="B13" i="5"/>
  <c r="F13" i="5"/>
  <c r="B14" i="5"/>
  <c r="F14" i="5"/>
  <c r="B15" i="5"/>
  <c r="F15" i="5"/>
  <c r="F12" i="5"/>
  <c r="B17" i="5"/>
  <c r="F17" i="5"/>
  <c r="B18" i="5"/>
  <c r="F18" i="5"/>
  <c r="B19" i="5"/>
  <c r="F19" i="5"/>
  <c r="B20" i="5"/>
  <c r="F20" i="5"/>
  <c r="B21" i="5"/>
  <c r="F21" i="5"/>
  <c r="B22" i="5"/>
  <c r="F22" i="5"/>
  <c r="B23" i="5"/>
  <c r="F23" i="5"/>
  <c r="F16" i="5"/>
  <c r="B25" i="5"/>
  <c r="F25" i="5"/>
  <c r="B26" i="5"/>
  <c r="F26" i="5"/>
  <c r="B27" i="5"/>
  <c r="F27" i="5"/>
  <c r="B28" i="5"/>
  <c r="F28" i="5"/>
  <c r="B29" i="5"/>
  <c r="F29" i="5"/>
  <c r="B30" i="5"/>
  <c r="F30" i="5"/>
  <c r="B31" i="5"/>
  <c r="F31" i="5"/>
  <c r="F24" i="5"/>
  <c r="B33" i="5"/>
  <c r="F33" i="5"/>
  <c r="B34" i="5"/>
  <c r="F34" i="5"/>
  <c r="B35" i="5"/>
  <c r="F35" i="5"/>
  <c r="F32" i="5"/>
  <c r="F6" i="5"/>
  <c r="E17" i="2"/>
  <c r="E19" i="2"/>
  <c r="B37" i="5"/>
  <c r="F37" i="5"/>
  <c r="F36" i="5"/>
  <c r="E20" i="2"/>
  <c r="E18" i="2"/>
  <c r="K55" i="3"/>
  <c r="K56" i="3"/>
  <c r="K67" i="3"/>
  <c r="K68" i="3"/>
  <c r="K79" i="3"/>
  <c r="K80" i="3"/>
  <c r="K91" i="3"/>
  <c r="K92" i="3"/>
  <c r="K57" i="3"/>
  <c r="K59" i="3"/>
  <c r="K69" i="3"/>
  <c r="K71" i="3"/>
  <c r="K81" i="3"/>
  <c r="K83" i="3"/>
  <c r="K93" i="3"/>
  <c r="K95" i="3"/>
  <c r="K103" i="3"/>
  <c r="K104" i="3"/>
  <c r="K105" i="3"/>
  <c r="K107" i="3"/>
  <c r="K115" i="3"/>
  <c r="K116" i="3"/>
  <c r="K117" i="3"/>
  <c r="K119" i="3"/>
  <c r="K127" i="3"/>
  <c r="K128" i="3"/>
  <c r="K129" i="3"/>
  <c r="K131" i="3"/>
  <c r="K139" i="3"/>
  <c r="K140" i="3"/>
  <c r="K141" i="3"/>
  <c r="K143" i="3"/>
  <c r="K151" i="3"/>
  <c r="K152" i="3"/>
  <c r="K153" i="3"/>
  <c r="K155" i="3"/>
  <c r="K163" i="3"/>
  <c r="K164" i="3"/>
  <c r="K165" i="3"/>
  <c r="K167" i="3"/>
  <c r="K175" i="3"/>
  <c r="K176" i="3"/>
  <c r="K177" i="3"/>
  <c r="K179" i="3"/>
  <c r="K187" i="3"/>
  <c r="K188" i="3"/>
  <c r="K189" i="3"/>
  <c r="K191" i="3"/>
  <c r="K199" i="3"/>
  <c r="K200" i="3"/>
  <c r="K201" i="3"/>
  <c r="K203" i="3"/>
  <c r="K211" i="3"/>
  <c r="K212" i="3"/>
  <c r="K213" i="3"/>
  <c r="K215" i="3"/>
  <c r="K223" i="3"/>
  <c r="K224" i="3"/>
  <c r="K225" i="3"/>
  <c r="K227" i="3"/>
  <c r="K235" i="3"/>
  <c r="K236" i="3"/>
  <c r="K237" i="3"/>
  <c r="K239" i="3"/>
  <c r="K247" i="3"/>
  <c r="K248" i="3"/>
  <c r="K249" i="3"/>
  <c r="K251" i="3"/>
  <c r="K259" i="3"/>
  <c r="K260" i="3"/>
  <c r="K261" i="3"/>
  <c r="K263" i="3"/>
  <c r="K271" i="3"/>
  <c r="K272" i="3"/>
  <c r="K273" i="3"/>
  <c r="K275" i="3"/>
  <c r="K283" i="3"/>
  <c r="K284" i="3"/>
  <c r="K285" i="3"/>
  <c r="K287" i="3"/>
  <c r="K295" i="3"/>
  <c r="K296" i="3"/>
  <c r="K297" i="3"/>
  <c r="K299" i="3"/>
  <c r="K307" i="3"/>
  <c r="K308" i="3"/>
  <c r="K309" i="3"/>
  <c r="K311" i="3"/>
  <c r="K320" i="3"/>
  <c r="K321" i="3"/>
  <c r="K334" i="3"/>
  <c r="K342" i="3"/>
  <c r="K345" i="3"/>
  <c r="K346" i="3"/>
  <c r="K349" i="3"/>
  <c r="K354" i="3"/>
  <c r="K355" i="3"/>
  <c r="K422" i="3"/>
  <c r="K423" i="3"/>
  <c r="K424" i="3"/>
  <c r="K425" i="3"/>
  <c r="K429" i="3"/>
  <c r="G7" i="5"/>
  <c r="G9" i="5"/>
  <c r="G10" i="5"/>
  <c r="G11" i="5"/>
  <c r="G8" i="5"/>
  <c r="G13" i="5"/>
  <c r="G14" i="5"/>
  <c r="G15" i="5"/>
  <c r="G12" i="5"/>
  <c r="G17" i="5"/>
  <c r="G18" i="5"/>
  <c r="G19" i="5"/>
  <c r="G20" i="5"/>
  <c r="G21" i="5"/>
  <c r="G22" i="5"/>
  <c r="G23" i="5"/>
  <c r="G16" i="5"/>
  <c r="G25" i="5"/>
  <c r="G26" i="5"/>
  <c r="G27" i="5"/>
  <c r="G28" i="5"/>
  <c r="G29" i="5"/>
  <c r="G30" i="5"/>
  <c r="G31" i="5"/>
  <c r="G24" i="5"/>
  <c r="G33" i="5"/>
  <c r="G34" i="5"/>
  <c r="G35" i="5"/>
  <c r="G32" i="5"/>
  <c r="G6" i="5"/>
  <c r="E5" i="2"/>
  <c r="F5" i="2"/>
  <c r="F19" i="2"/>
  <c r="G37" i="5"/>
  <c r="G36" i="5"/>
  <c r="F17" i="2"/>
  <c r="F20" i="2"/>
  <c r="F18" i="2"/>
  <c r="L55" i="3"/>
  <c r="L56" i="3"/>
  <c r="L67" i="3"/>
  <c r="L68" i="3"/>
  <c r="L79" i="3"/>
  <c r="L80" i="3"/>
  <c r="L91" i="3"/>
  <c r="L92" i="3"/>
  <c r="L57" i="3"/>
  <c r="L59" i="3"/>
  <c r="L69" i="3"/>
  <c r="L71" i="3"/>
  <c r="L81" i="3"/>
  <c r="L83" i="3"/>
  <c r="L93" i="3"/>
  <c r="L95" i="3"/>
  <c r="L103" i="3"/>
  <c r="L104" i="3"/>
  <c r="L105" i="3"/>
  <c r="L107" i="3"/>
  <c r="L115" i="3"/>
  <c r="L116" i="3"/>
  <c r="L117" i="3"/>
  <c r="L119" i="3"/>
  <c r="L127" i="3"/>
  <c r="L128" i="3"/>
  <c r="L129" i="3"/>
  <c r="L131" i="3"/>
  <c r="L139" i="3"/>
  <c r="L140" i="3"/>
  <c r="L141" i="3"/>
  <c r="L143" i="3"/>
  <c r="L151" i="3"/>
  <c r="L152" i="3"/>
  <c r="L153" i="3"/>
  <c r="L155" i="3"/>
  <c r="L163" i="3"/>
  <c r="L164" i="3"/>
  <c r="L165" i="3"/>
  <c r="L167" i="3"/>
  <c r="L175" i="3"/>
  <c r="L176" i="3"/>
  <c r="L177" i="3"/>
  <c r="L179" i="3"/>
  <c r="L187" i="3"/>
  <c r="L188" i="3"/>
  <c r="L189" i="3"/>
  <c r="L191" i="3"/>
  <c r="L199" i="3"/>
  <c r="L200" i="3"/>
  <c r="L201" i="3"/>
  <c r="L203" i="3"/>
  <c r="L211" i="3"/>
  <c r="L212" i="3"/>
  <c r="L213" i="3"/>
  <c r="L215" i="3"/>
  <c r="L223" i="3"/>
  <c r="L224" i="3"/>
  <c r="L225" i="3"/>
  <c r="L227" i="3"/>
  <c r="L235" i="3"/>
  <c r="L236" i="3"/>
  <c r="L237" i="3"/>
  <c r="L239" i="3"/>
  <c r="L247" i="3"/>
  <c r="L248" i="3"/>
  <c r="L249" i="3"/>
  <c r="L251" i="3"/>
  <c r="L259" i="3"/>
  <c r="L260" i="3"/>
  <c r="L261" i="3"/>
  <c r="L263" i="3"/>
  <c r="L271" i="3"/>
  <c r="L272" i="3"/>
  <c r="L273" i="3"/>
  <c r="L275" i="3"/>
  <c r="L283" i="3"/>
  <c r="L284" i="3"/>
  <c r="L285" i="3"/>
  <c r="L287" i="3"/>
  <c r="L295" i="3"/>
  <c r="L296" i="3"/>
  <c r="L297" i="3"/>
  <c r="L299" i="3"/>
  <c r="L307" i="3"/>
  <c r="L308" i="3"/>
  <c r="L309" i="3"/>
  <c r="L311" i="3"/>
  <c r="L320" i="3"/>
  <c r="L321" i="3"/>
  <c r="L342" i="3"/>
  <c r="L345" i="3"/>
  <c r="L346" i="3"/>
  <c r="L349" i="3"/>
  <c r="L354" i="3"/>
  <c r="L355" i="3"/>
  <c r="L416" i="3"/>
  <c r="L422" i="3"/>
  <c r="L423" i="3"/>
  <c r="L424" i="3"/>
  <c r="L425" i="3"/>
  <c r="L429" i="3"/>
  <c r="H7" i="5"/>
  <c r="H9" i="5"/>
  <c r="H10" i="5"/>
  <c r="H11" i="5"/>
  <c r="H8" i="5"/>
  <c r="H13" i="5"/>
  <c r="H14" i="5"/>
  <c r="H15" i="5"/>
  <c r="H12" i="5"/>
  <c r="H17" i="5"/>
  <c r="H18" i="5"/>
  <c r="H19" i="5"/>
  <c r="H20" i="5"/>
  <c r="H21" i="5"/>
  <c r="H22" i="5"/>
  <c r="H23" i="5"/>
  <c r="H16" i="5"/>
  <c r="H25" i="5"/>
  <c r="H26" i="5"/>
  <c r="H27" i="5"/>
  <c r="H28" i="5"/>
  <c r="H29" i="5"/>
  <c r="H30" i="5"/>
  <c r="H31" i="5"/>
  <c r="H24" i="5"/>
  <c r="H33" i="5"/>
  <c r="H34" i="5"/>
  <c r="H35" i="5"/>
  <c r="H32" i="5"/>
  <c r="H6" i="5"/>
  <c r="G5" i="2"/>
  <c r="G19" i="2"/>
  <c r="H37" i="5"/>
  <c r="H36" i="5"/>
  <c r="G17" i="2"/>
  <c r="G20" i="2"/>
  <c r="G18" i="2"/>
  <c r="M55" i="3"/>
  <c r="M56" i="3"/>
  <c r="M67" i="3"/>
  <c r="M68" i="3"/>
  <c r="M79" i="3"/>
  <c r="M80" i="3"/>
  <c r="M91" i="3"/>
  <c r="M92" i="3"/>
  <c r="M57" i="3"/>
  <c r="M59" i="3"/>
  <c r="M69" i="3"/>
  <c r="M71" i="3"/>
  <c r="M81" i="3"/>
  <c r="M83" i="3"/>
  <c r="M93" i="3"/>
  <c r="M95" i="3"/>
  <c r="M103" i="3"/>
  <c r="M104" i="3"/>
  <c r="M105" i="3"/>
  <c r="M107" i="3"/>
  <c r="M115" i="3"/>
  <c r="M116" i="3"/>
  <c r="M117" i="3"/>
  <c r="M119" i="3"/>
  <c r="M127" i="3"/>
  <c r="M128" i="3"/>
  <c r="M129" i="3"/>
  <c r="M131" i="3"/>
  <c r="M139" i="3"/>
  <c r="M140" i="3"/>
  <c r="M141" i="3"/>
  <c r="M143" i="3"/>
  <c r="M151" i="3"/>
  <c r="M152" i="3"/>
  <c r="M153" i="3"/>
  <c r="M155" i="3"/>
  <c r="M163" i="3"/>
  <c r="M164" i="3"/>
  <c r="M165" i="3"/>
  <c r="M167" i="3"/>
  <c r="M175" i="3"/>
  <c r="M176" i="3"/>
  <c r="M177" i="3"/>
  <c r="M179" i="3"/>
  <c r="M187" i="3"/>
  <c r="M188" i="3"/>
  <c r="M189" i="3"/>
  <c r="M191" i="3"/>
  <c r="M199" i="3"/>
  <c r="M200" i="3"/>
  <c r="M201" i="3"/>
  <c r="M203" i="3"/>
  <c r="M211" i="3"/>
  <c r="M212" i="3"/>
  <c r="M213" i="3"/>
  <c r="M215" i="3"/>
  <c r="M223" i="3"/>
  <c r="M224" i="3"/>
  <c r="M225" i="3"/>
  <c r="M227" i="3"/>
  <c r="M235" i="3"/>
  <c r="M236" i="3"/>
  <c r="M237" i="3"/>
  <c r="M239" i="3"/>
  <c r="M247" i="3"/>
  <c r="M248" i="3"/>
  <c r="M249" i="3"/>
  <c r="M251" i="3"/>
  <c r="M259" i="3"/>
  <c r="M260" i="3"/>
  <c r="M261" i="3"/>
  <c r="M263" i="3"/>
  <c r="M271" i="3"/>
  <c r="M272" i="3"/>
  <c r="M273" i="3"/>
  <c r="M275" i="3"/>
  <c r="M283" i="3"/>
  <c r="M284" i="3"/>
  <c r="M285" i="3"/>
  <c r="M287" i="3"/>
  <c r="M295" i="3"/>
  <c r="M296" i="3"/>
  <c r="M297" i="3"/>
  <c r="M299" i="3"/>
  <c r="M307" i="3"/>
  <c r="M308" i="3"/>
  <c r="M309" i="3"/>
  <c r="M311" i="3"/>
  <c r="M320" i="3"/>
  <c r="M321" i="3"/>
  <c r="M342" i="3"/>
  <c r="M345" i="3"/>
  <c r="M346" i="3"/>
  <c r="M349" i="3"/>
  <c r="M354" i="3"/>
  <c r="M355" i="3"/>
  <c r="M416" i="3"/>
  <c r="M422" i="3"/>
  <c r="M423" i="3"/>
  <c r="M424" i="3"/>
  <c r="M425" i="3"/>
  <c r="M429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I7" i="5"/>
  <c r="I9" i="5"/>
  <c r="I10" i="5"/>
  <c r="I11" i="5"/>
  <c r="I8" i="5"/>
  <c r="I13" i="5"/>
  <c r="I14" i="5"/>
  <c r="I15" i="5"/>
  <c r="I12" i="5"/>
  <c r="I17" i="5"/>
  <c r="I18" i="5"/>
  <c r="I19" i="5"/>
  <c r="I20" i="5"/>
  <c r="I21" i="5"/>
  <c r="I22" i="5"/>
  <c r="I23" i="5"/>
  <c r="I16" i="5"/>
  <c r="I25" i="5"/>
  <c r="I26" i="5"/>
  <c r="I27" i="5"/>
  <c r="I28" i="5"/>
  <c r="I29" i="5"/>
  <c r="I30" i="5"/>
  <c r="I31" i="5"/>
  <c r="I24" i="5"/>
  <c r="I33" i="5"/>
  <c r="I34" i="5"/>
  <c r="I35" i="5"/>
  <c r="I32" i="5"/>
  <c r="I6" i="5"/>
  <c r="H5" i="2"/>
  <c r="H19" i="2"/>
  <c r="I37" i="5"/>
  <c r="I36" i="5"/>
  <c r="H17" i="2"/>
  <c r="H20" i="2"/>
  <c r="H18" i="2"/>
  <c r="N55" i="3"/>
  <c r="N56" i="3"/>
  <c r="N67" i="3"/>
  <c r="N68" i="3"/>
  <c r="N79" i="3"/>
  <c r="N80" i="3"/>
  <c r="N91" i="3"/>
  <c r="N92" i="3"/>
  <c r="N57" i="3"/>
  <c r="N59" i="3"/>
  <c r="N69" i="3"/>
  <c r="N71" i="3"/>
  <c r="N81" i="3"/>
  <c r="N83" i="3"/>
  <c r="N93" i="3"/>
  <c r="N95" i="3"/>
  <c r="N103" i="3"/>
  <c r="N104" i="3"/>
  <c r="N105" i="3"/>
  <c r="N107" i="3"/>
  <c r="N115" i="3"/>
  <c r="N116" i="3"/>
  <c r="N117" i="3"/>
  <c r="N119" i="3"/>
  <c r="N127" i="3"/>
  <c r="N128" i="3"/>
  <c r="N129" i="3"/>
  <c r="N131" i="3"/>
  <c r="N139" i="3"/>
  <c r="N140" i="3"/>
  <c r="N141" i="3"/>
  <c r="N143" i="3"/>
  <c r="N151" i="3"/>
  <c r="N152" i="3"/>
  <c r="N153" i="3"/>
  <c r="N155" i="3"/>
  <c r="N163" i="3"/>
  <c r="N164" i="3"/>
  <c r="N165" i="3"/>
  <c r="N167" i="3"/>
  <c r="N175" i="3"/>
  <c r="N176" i="3"/>
  <c r="N177" i="3"/>
  <c r="N179" i="3"/>
  <c r="N187" i="3"/>
  <c r="N188" i="3"/>
  <c r="N189" i="3"/>
  <c r="N191" i="3"/>
  <c r="N199" i="3"/>
  <c r="N200" i="3"/>
  <c r="N201" i="3"/>
  <c r="N203" i="3"/>
  <c r="N211" i="3"/>
  <c r="N212" i="3"/>
  <c r="N213" i="3"/>
  <c r="N215" i="3"/>
  <c r="N223" i="3"/>
  <c r="N224" i="3"/>
  <c r="N225" i="3"/>
  <c r="N227" i="3"/>
  <c r="N235" i="3"/>
  <c r="N236" i="3"/>
  <c r="N237" i="3"/>
  <c r="N239" i="3"/>
  <c r="N247" i="3"/>
  <c r="N248" i="3"/>
  <c r="N249" i="3"/>
  <c r="N251" i="3"/>
  <c r="N259" i="3"/>
  <c r="N260" i="3"/>
  <c r="N261" i="3"/>
  <c r="N263" i="3"/>
  <c r="N271" i="3"/>
  <c r="N272" i="3"/>
  <c r="N273" i="3"/>
  <c r="N275" i="3"/>
  <c r="N283" i="3"/>
  <c r="N284" i="3"/>
  <c r="N285" i="3"/>
  <c r="N287" i="3"/>
  <c r="N295" i="3"/>
  <c r="N296" i="3"/>
  <c r="N297" i="3"/>
  <c r="N299" i="3"/>
  <c r="N307" i="3"/>
  <c r="N308" i="3"/>
  <c r="N309" i="3"/>
  <c r="N311" i="3"/>
  <c r="N320" i="3"/>
  <c r="N321" i="3"/>
  <c r="N342" i="3"/>
  <c r="N345" i="3"/>
  <c r="N346" i="3"/>
  <c r="N349" i="3"/>
  <c r="N354" i="3"/>
  <c r="N355" i="3"/>
  <c r="N416" i="3"/>
  <c r="N422" i="3"/>
  <c r="N423" i="3"/>
  <c r="N424" i="3"/>
  <c r="N425" i="3"/>
  <c r="N429" i="3"/>
  <c r="J7" i="5"/>
  <c r="J9" i="5"/>
  <c r="J10" i="5"/>
  <c r="J11" i="5"/>
  <c r="J8" i="5"/>
  <c r="J13" i="5"/>
  <c r="J14" i="5"/>
  <c r="J15" i="5"/>
  <c r="J12" i="5"/>
  <c r="J17" i="5"/>
  <c r="J18" i="5"/>
  <c r="J19" i="5"/>
  <c r="J20" i="5"/>
  <c r="J21" i="5"/>
  <c r="J22" i="5"/>
  <c r="J23" i="5"/>
  <c r="J16" i="5"/>
  <c r="J25" i="5"/>
  <c r="J26" i="5"/>
  <c r="J27" i="5"/>
  <c r="J28" i="5"/>
  <c r="J29" i="5"/>
  <c r="J30" i="5"/>
  <c r="J31" i="5"/>
  <c r="J24" i="5"/>
  <c r="J33" i="5"/>
  <c r="J34" i="5"/>
  <c r="J35" i="5"/>
  <c r="J32" i="5"/>
  <c r="J6" i="5"/>
  <c r="I5" i="2"/>
  <c r="I19" i="2"/>
  <c r="J37" i="5"/>
  <c r="J36" i="5"/>
  <c r="I17" i="2"/>
  <c r="I20" i="2"/>
  <c r="I18" i="2"/>
  <c r="O55" i="3"/>
  <c r="O56" i="3"/>
  <c r="O67" i="3"/>
  <c r="O68" i="3"/>
  <c r="O79" i="3"/>
  <c r="O80" i="3"/>
  <c r="O91" i="3"/>
  <c r="O92" i="3"/>
  <c r="O57" i="3"/>
  <c r="O59" i="3"/>
  <c r="O69" i="3"/>
  <c r="O71" i="3"/>
  <c r="O81" i="3"/>
  <c r="O83" i="3"/>
  <c r="O93" i="3"/>
  <c r="O95" i="3"/>
  <c r="O103" i="3"/>
  <c r="O104" i="3"/>
  <c r="O105" i="3"/>
  <c r="O107" i="3"/>
  <c r="O115" i="3"/>
  <c r="O116" i="3"/>
  <c r="O117" i="3"/>
  <c r="O119" i="3"/>
  <c r="O127" i="3"/>
  <c r="O128" i="3"/>
  <c r="O129" i="3"/>
  <c r="O131" i="3"/>
  <c r="O139" i="3"/>
  <c r="O140" i="3"/>
  <c r="O141" i="3"/>
  <c r="O143" i="3"/>
  <c r="O151" i="3"/>
  <c r="O152" i="3"/>
  <c r="O153" i="3"/>
  <c r="O155" i="3"/>
  <c r="O163" i="3"/>
  <c r="O164" i="3"/>
  <c r="O165" i="3"/>
  <c r="O167" i="3"/>
  <c r="O175" i="3"/>
  <c r="O176" i="3"/>
  <c r="O177" i="3"/>
  <c r="O179" i="3"/>
  <c r="O187" i="3"/>
  <c r="O188" i="3"/>
  <c r="O189" i="3"/>
  <c r="O191" i="3"/>
  <c r="O199" i="3"/>
  <c r="O200" i="3"/>
  <c r="O201" i="3"/>
  <c r="O203" i="3"/>
  <c r="O211" i="3"/>
  <c r="O212" i="3"/>
  <c r="O213" i="3"/>
  <c r="O215" i="3"/>
  <c r="O223" i="3"/>
  <c r="O224" i="3"/>
  <c r="O225" i="3"/>
  <c r="O227" i="3"/>
  <c r="O235" i="3"/>
  <c r="O236" i="3"/>
  <c r="O237" i="3"/>
  <c r="O239" i="3"/>
  <c r="O247" i="3"/>
  <c r="O248" i="3"/>
  <c r="O249" i="3"/>
  <c r="O251" i="3"/>
  <c r="O259" i="3"/>
  <c r="O260" i="3"/>
  <c r="O261" i="3"/>
  <c r="O263" i="3"/>
  <c r="O271" i="3"/>
  <c r="O272" i="3"/>
  <c r="O273" i="3"/>
  <c r="O275" i="3"/>
  <c r="O283" i="3"/>
  <c r="O284" i="3"/>
  <c r="O285" i="3"/>
  <c r="O287" i="3"/>
  <c r="O295" i="3"/>
  <c r="O296" i="3"/>
  <c r="O297" i="3"/>
  <c r="O299" i="3"/>
  <c r="O307" i="3"/>
  <c r="O308" i="3"/>
  <c r="O309" i="3"/>
  <c r="O311" i="3"/>
  <c r="O320" i="3"/>
  <c r="O321" i="3"/>
  <c r="O334" i="3"/>
  <c r="O342" i="3"/>
  <c r="O345" i="3"/>
  <c r="O346" i="3"/>
  <c r="O349" i="3"/>
  <c r="O354" i="3"/>
  <c r="O355" i="3"/>
  <c r="O416" i="3"/>
  <c r="O422" i="3"/>
  <c r="O423" i="3"/>
  <c r="O424" i="3"/>
  <c r="O425" i="3"/>
  <c r="O429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K7" i="5"/>
  <c r="K9" i="5"/>
  <c r="K10" i="5"/>
  <c r="K11" i="5"/>
  <c r="K8" i="5"/>
  <c r="K13" i="5"/>
  <c r="K14" i="5"/>
  <c r="K15" i="5"/>
  <c r="K12" i="5"/>
  <c r="K17" i="5"/>
  <c r="K18" i="5"/>
  <c r="K19" i="5"/>
  <c r="K20" i="5"/>
  <c r="K21" i="5"/>
  <c r="K22" i="5"/>
  <c r="K23" i="5"/>
  <c r="K16" i="5"/>
  <c r="K25" i="5"/>
  <c r="K26" i="5"/>
  <c r="K27" i="5"/>
  <c r="K28" i="5"/>
  <c r="K29" i="5"/>
  <c r="K30" i="5"/>
  <c r="K31" i="5"/>
  <c r="K24" i="5"/>
  <c r="K33" i="5"/>
  <c r="K34" i="5"/>
  <c r="K35" i="5"/>
  <c r="K32" i="5"/>
  <c r="K6" i="5"/>
  <c r="J5" i="2"/>
  <c r="J19" i="2"/>
  <c r="K37" i="5"/>
  <c r="K36" i="5"/>
  <c r="J17" i="2"/>
  <c r="J20" i="2"/>
  <c r="J18" i="2"/>
  <c r="P55" i="3"/>
  <c r="P56" i="3"/>
  <c r="P67" i="3"/>
  <c r="P68" i="3"/>
  <c r="P79" i="3"/>
  <c r="P80" i="3"/>
  <c r="P91" i="3"/>
  <c r="P92" i="3"/>
  <c r="P57" i="3"/>
  <c r="P59" i="3"/>
  <c r="P69" i="3"/>
  <c r="P71" i="3"/>
  <c r="P81" i="3"/>
  <c r="P83" i="3"/>
  <c r="P93" i="3"/>
  <c r="P95" i="3"/>
  <c r="P103" i="3"/>
  <c r="P104" i="3"/>
  <c r="P105" i="3"/>
  <c r="P107" i="3"/>
  <c r="P115" i="3"/>
  <c r="P116" i="3"/>
  <c r="P117" i="3"/>
  <c r="P119" i="3"/>
  <c r="P127" i="3"/>
  <c r="P128" i="3"/>
  <c r="P129" i="3"/>
  <c r="P131" i="3"/>
  <c r="P139" i="3"/>
  <c r="P140" i="3"/>
  <c r="P141" i="3"/>
  <c r="P143" i="3"/>
  <c r="P151" i="3"/>
  <c r="P152" i="3"/>
  <c r="P153" i="3"/>
  <c r="P155" i="3"/>
  <c r="P163" i="3"/>
  <c r="P164" i="3"/>
  <c r="P165" i="3"/>
  <c r="P167" i="3"/>
  <c r="P175" i="3"/>
  <c r="P176" i="3"/>
  <c r="P177" i="3"/>
  <c r="P179" i="3"/>
  <c r="P187" i="3"/>
  <c r="P188" i="3"/>
  <c r="P189" i="3"/>
  <c r="P191" i="3"/>
  <c r="P199" i="3"/>
  <c r="P200" i="3"/>
  <c r="P201" i="3"/>
  <c r="P203" i="3"/>
  <c r="P211" i="3"/>
  <c r="P212" i="3"/>
  <c r="P213" i="3"/>
  <c r="P215" i="3"/>
  <c r="P223" i="3"/>
  <c r="P224" i="3"/>
  <c r="P225" i="3"/>
  <c r="P227" i="3"/>
  <c r="P235" i="3"/>
  <c r="P236" i="3"/>
  <c r="P237" i="3"/>
  <c r="P239" i="3"/>
  <c r="P247" i="3"/>
  <c r="P248" i="3"/>
  <c r="P249" i="3"/>
  <c r="P251" i="3"/>
  <c r="P259" i="3"/>
  <c r="P260" i="3"/>
  <c r="P261" i="3"/>
  <c r="P263" i="3"/>
  <c r="P271" i="3"/>
  <c r="P272" i="3"/>
  <c r="P273" i="3"/>
  <c r="P275" i="3"/>
  <c r="P283" i="3"/>
  <c r="P284" i="3"/>
  <c r="P285" i="3"/>
  <c r="P287" i="3"/>
  <c r="P295" i="3"/>
  <c r="P296" i="3"/>
  <c r="P297" i="3"/>
  <c r="P299" i="3"/>
  <c r="P307" i="3"/>
  <c r="P308" i="3"/>
  <c r="P309" i="3"/>
  <c r="P311" i="3"/>
  <c r="P320" i="3"/>
  <c r="P321" i="3"/>
  <c r="P342" i="3"/>
  <c r="P345" i="3"/>
  <c r="P346" i="3"/>
  <c r="P349" i="3"/>
  <c r="P354" i="3"/>
  <c r="P355" i="3"/>
  <c r="P416" i="3"/>
  <c r="P422" i="3"/>
  <c r="P423" i="3"/>
  <c r="P424" i="3"/>
  <c r="P425" i="3"/>
  <c r="P429" i="3"/>
  <c r="L7" i="5"/>
  <c r="L9" i="5"/>
  <c r="L10" i="5"/>
  <c r="L11" i="5"/>
  <c r="L8" i="5"/>
  <c r="L13" i="5"/>
  <c r="L14" i="5"/>
  <c r="L15" i="5"/>
  <c r="L12" i="5"/>
  <c r="L17" i="5"/>
  <c r="L18" i="5"/>
  <c r="L19" i="5"/>
  <c r="L20" i="5"/>
  <c r="L21" i="5"/>
  <c r="L22" i="5"/>
  <c r="L23" i="5"/>
  <c r="L16" i="5"/>
  <c r="L25" i="5"/>
  <c r="L26" i="5"/>
  <c r="L27" i="5"/>
  <c r="L28" i="5"/>
  <c r="L29" i="5"/>
  <c r="L30" i="5"/>
  <c r="L31" i="5"/>
  <c r="L24" i="5"/>
  <c r="L33" i="5"/>
  <c r="L34" i="5"/>
  <c r="L35" i="5"/>
  <c r="L32" i="5"/>
  <c r="L6" i="5"/>
  <c r="K5" i="2"/>
  <c r="K19" i="2"/>
  <c r="L37" i="5"/>
  <c r="L36" i="5"/>
  <c r="K17" i="2"/>
  <c r="K20" i="2"/>
  <c r="K18" i="2"/>
  <c r="Q55" i="3"/>
  <c r="Q56" i="3"/>
  <c r="Q67" i="3"/>
  <c r="Q68" i="3"/>
  <c r="Q79" i="3"/>
  <c r="Q80" i="3"/>
  <c r="Q91" i="3"/>
  <c r="Q92" i="3"/>
  <c r="Q57" i="3"/>
  <c r="Q59" i="3"/>
  <c r="Q69" i="3"/>
  <c r="Q71" i="3"/>
  <c r="Q81" i="3"/>
  <c r="Q83" i="3"/>
  <c r="Q93" i="3"/>
  <c r="Q95" i="3"/>
  <c r="Q103" i="3"/>
  <c r="Q104" i="3"/>
  <c r="Q105" i="3"/>
  <c r="Q107" i="3"/>
  <c r="Q115" i="3"/>
  <c r="Q116" i="3"/>
  <c r="Q117" i="3"/>
  <c r="Q119" i="3"/>
  <c r="Q127" i="3"/>
  <c r="Q128" i="3"/>
  <c r="Q129" i="3"/>
  <c r="Q131" i="3"/>
  <c r="Q139" i="3"/>
  <c r="Q140" i="3"/>
  <c r="Q141" i="3"/>
  <c r="Q143" i="3"/>
  <c r="Q151" i="3"/>
  <c r="Q152" i="3"/>
  <c r="Q153" i="3"/>
  <c r="Q155" i="3"/>
  <c r="Q163" i="3"/>
  <c r="Q164" i="3"/>
  <c r="Q165" i="3"/>
  <c r="Q167" i="3"/>
  <c r="Q175" i="3"/>
  <c r="Q176" i="3"/>
  <c r="Q177" i="3"/>
  <c r="Q179" i="3"/>
  <c r="Q187" i="3"/>
  <c r="Q188" i="3"/>
  <c r="Q189" i="3"/>
  <c r="Q191" i="3"/>
  <c r="Q199" i="3"/>
  <c r="Q200" i="3"/>
  <c r="Q201" i="3"/>
  <c r="Q203" i="3"/>
  <c r="Q211" i="3"/>
  <c r="Q212" i="3"/>
  <c r="Q213" i="3"/>
  <c r="Q215" i="3"/>
  <c r="Q223" i="3"/>
  <c r="Q224" i="3"/>
  <c r="Q225" i="3"/>
  <c r="Q227" i="3"/>
  <c r="Q235" i="3"/>
  <c r="Q236" i="3"/>
  <c r="Q237" i="3"/>
  <c r="Q239" i="3"/>
  <c r="Q247" i="3"/>
  <c r="Q248" i="3"/>
  <c r="Q249" i="3"/>
  <c r="Q251" i="3"/>
  <c r="Q259" i="3"/>
  <c r="Q260" i="3"/>
  <c r="Q261" i="3"/>
  <c r="Q263" i="3"/>
  <c r="Q271" i="3"/>
  <c r="Q272" i="3"/>
  <c r="Q273" i="3"/>
  <c r="Q275" i="3"/>
  <c r="Q283" i="3"/>
  <c r="Q284" i="3"/>
  <c r="Q285" i="3"/>
  <c r="Q287" i="3"/>
  <c r="Q295" i="3"/>
  <c r="Q296" i="3"/>
  <c r="Q297" i="3"/>
  <c r="Q299" i="3"/>
  <c r="Q307" i="3"/>
  <c r="Q308" i="3"/>
  <c r="Q309" i="3"/>
  <c r="Q311" i="3"/>
  <c r="Q320" i="3"/>
  <c r="Q321" i="3"/>
  <c r="Q342" i="3"/>
  <c r="Q345" i="3"/>
  <c r="Q346" i="3"/>
  <c r="Q349" i="3"/>
  <c r="Q354" i="3"/>
  <c r="Q355" i="3"/>
  <c r="Q416" i="3"/>
  <c r="Q422" i="3"/>
  <c r="Q423" i="3"/>
  <c r="Q424" i="3"/>
  <c r="Q425" i="3"/>
  <c r="Q429" i="3"/>
  <c r="I479" i="3"/>
  <c r="Q479" i="3"/>
  <c r="I480" i="3"/>
  <c r="Q480" i="3"/>
  <c r="I481" i="3"/>
  <c r="Q481" i="3"/>
  <c r="I482" i="3"/>
  <c r="Q482" i="3"/>
  <c r="I483" i="3"/>
  <c r="Q483" i="3"/>
  <c r="I484" i="3"/>
  <c r="Q484" i="3"/>
  <c r="I485" i="3"/>
  <c r="Q485" i="3"/>
  <c r="I486" i="3"/>
  <c r="Q486" i="3"/>
  <c r="I487" i="3"/>
  <c r="Q487" i="3"/>
  <c r="I488" i="3"/>
  <c r="Q488" i="3"/>
  <c r="I489" i="3"/>
  <c r="Q489" i="3"/>
  <c r="I490" i="3"/>
  <c r="Q490" i="3"/>
  <c r="I491" i="3"/>
  <c r="Q491" i="3"/>
  <c r="I492" i="3"/>
  <c r="Q492" i="3"/>
  <c r="I493" i="3"/>
  <c r="Q493" i="3"/>
  <c r="I494" i="3"/>
  <c r="Q494" i="3"/>
  <c r="I495" i="3"/>
  <c r="Q495" i="3"/>
  <c r="I496" i="3"/>
  <c r="Q496" i="3"/>
  <c r="I497" i="3"/>
  <c r="Q497" i="3"/>
  <c r="I498" i="3"/>
  <c r="Q498" i="3"/>
  <c r="I499" i="3"/>
  <c r="Q499" i="3"/>
  <c r="I500" i="3"/>
  <c r="Q500" i="3"/>
  <c r="I501" i="3"/>
  <c r="Q501" i="3"/>
  <c r="I502" i="3"/>
  <c r="Q502" i="3"/>
  <c r="I503" i="3"/>
  <c r="Q503" i="3"/>
  <c r="I504" i="3"/>
  <c r="Q504" i="3"/>
  <c r="I505" i="3"/>
  <c r="Q505" i="3"/>
  <c r="I506" i="3"/>
  <c r="Q506" i="3"/>
  <c r="I507" i="3"/>
  <c r="Q507" i="3"/>
  <c r="I508" i="3"/>
  <c r="Q508" i="3"/>
  <c r="M7" i="5"/>
  <c r="M9" i="5"/>
  <c r="M10" i="5"/>
  <c r="M11" i="5"/>
  <c r="M8" i="5"/>
  <c r="M13" i="5"/>
  <c r="M14" i="5"/>
  <c r="M15" i="5"/>
  <c r="M12" i="5"/>
  <c r="M17" i="5"/>
  <c r="M18" i="5"/>
  <c r="M19" i="5"/>
  <c r="M20" i="5"/>
  <c r="M21" i="5"/>
  <c r="M22" i="5"/>
  <c r="M23" i="5"/>
  <c r="M16" i="5"/>
  <c r="M25" i="5"/>
  <c r="M26" i="5"/>
  <c r="M27" i="5"/>
  <c r="M28" i="5"/>
  <c r="M29" i="5"/>
  <c r="M30" i="5"/>
  <c r="M31" i="5"/>
  <c r="M24" i="5"/>
  <c r="M33" i="5"/>
  <c r="M34" i="5"/>
  <c r="M35" i="5"/>
  <c r="M32" i="5"/>
  <c r="M6" i="5"/>
  <c r="L5" i="2"/>
  <c r="L19" i="2"/>
  <c r="M37" i="5"/>
  <c r="M36" i="5"/>
  <c r="L17" i="2"/>
  <c r="L20" i="2"/>
  <c r="L18" i="2"/>
  <c r="R55" i="3"/>
  <c r="R56" i="3"/>
  <c r="R67" i="3"/>
  <c r="R68" i="3"/>
  <c r="R79" i="3"/>
  <c r="R80" i="3"/>
  <c r="R91" i="3"/>
  <c r="R92" i="3"/>
  <c r="R57" i="3"/>
  <c r="R59" i="3"/>
  <c r="R69" i="3"/>
  <c r="R71" i="3"/>
  <c r="R81" i="3"/>
  <c r="R83" i="3"/>
  <c r="R93" i="3"/>
  <c r="R95" i="3"/>
  <c r="R103" i="3"/>
  <c r="R104" i="3"/>
  <c r="R105" i="3"/>
  <c r="R107" i="3"/>
  <c r="R115" i="3"/>
  <c r="R116" i="3"/>
  <c r="R117" i="3"/>
  <c r="R119" i="3"/>
  <c r="R127" i="3"/>
  <c r="R128" i="3"/>
  <c r="R129" i="3"/>
  <c r="R131" i="3"/>
  <c r="R139" i="3"/>
  <c r="R140" i="3"/>
  <c r="R141" i="3"/>
  <c r="R143" i="3"/>
  <c r="R151" i="3"/>
  <c r="R152" i="3"/>
  <c r="R153" i="3"/>
  <c r="R155" i="3"/>
  <c r="R163" i="3"/>
  <c r="R164" i="3"/>
  <c r="R165" i="3"/>
  <c r="R167" i="3"/>
  <c r="R175" i="3"/>
  <c r="R176" i="3"/>
  <c r="R177" i="3"/>
  <c r="R179" i="3"/>
  <c r="R187" i="3"/>
  <c r="R188" i="3"/>
  <c r="R189" i="3"/>
  <c r="R191" i="3"/>
  <c r="R199" i="3"/>
  <c r="R200" i="3"/>
  <c r="R201" i="3"/>
  <c r="R203" i="3"/>
  <c r="R211" i="3"/>
  <c r="R212" i="3"/>
  <c r="R213" i="3"/>
  <c r="R215" i="3"/>
  <c r="R223" i="3"/>
  <c r="R224" i="3"/>
  <c r="R225" i="3"/>
  <c r="R227" i="3"/>
  <c r="R235" i="3"/>
  <c r="R236" i="3"/>
  <c r="R237" i="3"/>
  <c r="R239" i="3"/>
  <c r="R247" i="3"/>
  <c r="R248" i="3"/>
  <c r="R249" i="3"/>
  <c r="R251" i="3"/>
  <c r="R259" i="3"/>
  <c r="R260" i="3"/>
  <c r="R261" i="3"/>
  <c r="R263" i="3"/>
  <c r="R271" i="3"/>
  <c r="R272" i="3"/>
  <c r="R273" i="3"/>
  <c r="R275" i="3"/>
  <c r="R283" i="3"/>
  <c r="R284" i="3"/>
  <c r="R285" i="3"/>
  <c r="R287" i="3"/>
  <c r="R295" i="3"/>
  <c r="R296" i="3"/>
  <c r="R297" i="3"/>
  <c r="R299" i="3"/>
  <c r="R307" i="3"/>
  <c r="R308" i="3"/>
  <c r="R309" i="3"/>
  <c r="R311" i="3"/>
  <c r="R320" i="3"/>
  <c r="R321" i="3"/>
  <c r="R342" i="3"/>
  <c r="R345" i="3"/>
  <c r="R346" i="3"/>
  <c r="R349" i="3"/>
  <c r="R354" i="3"/>
  <c r="R355" i="3"/>
  <c r="R416" i="3"/>
  <c r="R422" i="3"/>
  <c r="R423" i="3"/>
  <c r="R424" i="3"/>
  <c r="R425" i="3"/>
  <c r="R429" i="3"/>
  <c r="N7" i="5"/>
  <c r="N9" i="5"/>
  <c r="N10" i="5"/>
  <c r="N11" i="5"/>
  <c r="N8" i="5"/>
  <c r="N13" i="5"/>
  <c r="N14" i="5"/>
  <c r="N15" i="5"/>
  <c r="N12" i="5"/>
  <c r="N17" i="5"/>
  <c r="N18" i="5"/>
  <c r="N19" i="5"/>
  <c r="N20" i="5"/>
  <c r="N21" i="5"/>
  <c r="N22" i="5"/>
  <c r="N23" i="5"/>
  <c r="N16" i="5"/>
  <c r="N25" i="5"/>
  <c r="N26" i="5"/>
  <c r="N27" i="5"/>
  <c r="N28" i="5"/>
  <c r="N29" i="5"/>
  <c r="N30" i="5"/>
  <c r="N31" i="5"/>
  <c r="N24" i="5"/>
  <c r="N33" i="5"/>
  <c r="N34" i="5"/>
  <c r="N35" i="5"/>
  <c r="N32" i="5"/>
  <c r="N6" i="5"/>
  <c r="M5" i="2"/>
  <c r="M19" i="2"/>
  <c r="N37" i="5"/>
  <c r="N36" i="5"/>
  <c r="M17" i="2"/>
  <c r="M20" i="2"/>
  <c r="M18" i="2"/>
  <c r="S55" i="3"/>
  <c r="S56" i="3"/>
  <c r="S67" i="3"/>
  <c r="S68" i="3"/>
  <c r="S79" i="3"/>
  <c r="S80" i="3"/>
  <c r="S91" i="3"/>
  <c r="S92" i="3"/>
  <c r="S57" i="3"/>
  <c r="S59" i="3"/>
  <c r="S69" i="3"/>
  <c r="S71" i="3"/>
  <c r="S81" i="3"/>
  <c r="S83" i="3"/>
  <c r="S93" i="3"/>
  <c r="S95" i="3"/>
  <c r="S103" i="3"/>
  <c r="S104" i="3"/>
  <c r="S105" i="3"/>
  <c r="S107" i="3"/>
  <c r="S115" i="3"/>
  <c r="S116" i="3"/>
  <c r="S117" i="3"/>
  <c r="S119" i="3"/>
  <c r="S127" i="3"/>
  <c r="S128" i="3"/>
  <c r="S129" i="3"/>
  <c r="S131" i="3"/>
  <c r="S139" i="3"/>
  <c r="S140" i="3"/>
  <c r="S141" i="3"/>
  <c r="S143" i="3"/>
  <c r="S151" i="3"/>
  <c r="S152" i="3"/>
  <c r="S153" i="3"/>
  <c r="S155" i="3"/>
  <c r="S163" i="3"/>
  <c r="S164" i="3"/>
  <c r="S165" i="3"/>
  <c r="S167" i="3"/>
  <c r="S175" i="3"/>
  <c r="S176" i="3"/>
  <c r="S177" i="3"/>
  <c r="S179" i="3"/>
  <c r="S187" i="3"/>
  <c r="S188" i="3"/>
  <c r="S189" i="3"/>
  <c r="S191" i="3"/>
  <c r="S199" i="3"/>
  <c r="S200" i="3"/>
  <c r="S201" i="3"/>
  <c r="S203" i="3"/>
  <c r="S211" i="3"/>
  <c r="S212" i="3"/>
  <c r="S213" i="3"/>
  <c r="S215" i="3"/>
  <c r="S223" i="3"/>
  <c r="S224" i="3"/>
  <c r="S225" i="3"/>
  <c r="S227" i="3"/>
  <c r="S235" i="3"/>
  <c r="S236" i="3"/>
  <c r="S237" i="3"/>
  <c r="S239" i="3"/>
  <c r="S247" i="3"/>
  <c r="S248" i="3"/>
  <c r="S249" i="3"/>
  <c r="S251" i="3"/>
  <c r="S259" i="3"/>
  <c r="S260" i="3"/>
  <c r="S261" i="3"/>
  <c r="S263" i="3"/>
  <c r="S271" i="3"/>
  <c r="S272" i="3"/>
  <c r="S273" i="3"/>
  <c r="S275" i="3"/>
  <c r="S283" i="3"/>
  <c r="S284" i="3"/>
  <c r="S285" i="3"/>
  <c r="S287" i="3"/>
  <c r="S295" i="3"/>
  <c r="S296" i="3"/>
  <c r="S297" i="3"/>
  <c r="S299" i="3"/>
  <c r="S307" i="3"/>
  <c r="S308" i="3"/>
  <c r="S309" i="3"/>
  <c r="S311" i="3"/>
  <c r="S320" i="3"/>
  <c r="S321" i="3"/>
  <c r="S334" i="3"/>
  <c r="S342" i="3"/>
  <c r="S345" i="3"/>
  <c r="S346" i="3"/>
  <c r="S349" i="3"/>
  <c r="S354" i="3"/>
  <c r="S355" i="3"/>
  <c r="S416" i="3"/>
  <c r="S422" i="3"/>
  <c r="S423" i="3"/>
  <c r="S424" i="3"/>
  <c r="S425" i="3"/>
  <c r="S429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O7" i="5"/>
  <c r="O9" i="5"/>
  <c r="O10" i="5"/>
  <c r="O11" i="5"/>
  <c r="O8" i="5"/>
  <c r="O13" i="5"/>
  <c r="O14" i="5"/>
  <c r="O15" i="5"/>
  <c r="O12" i="5"/>
  <c r="O17" i="5"/>
  <c r="O18" i="5"/>
  <c r="O19" i="5"/>
  <c r="O20" i="5"/>
  <c r="O21" i="5"/>
  <c r="O22" i="5"/>
  <c r="O23" i="5"/>
  <c r="O16" i="5"/>
  <c r="O25" i="5"/>
  <c r="O26" i="5"/>
  <c r="O27" i="5"/>
  <c r="O28" i="5"/>
  <c r="O29" i="5"/>
  <c r="O30" i="5"/>
  <c r="O31" i="5"/>
  <c r="O24" i="5"/>
  <c r="O33" i="5"/>
  <c r="O34" i="5"/>
  <c r="O35" i="5"/>
  <c r="O32" i="5"/>
  <c r="O6" i="5"/>
  <c r="N5" i="2"/>
  <c r="N19" i="2"/>
  <c r="O37" i="5"/>
  <c r="O36" i="5"/>
  <c r="N17" i="2"/>
  <c r="N20" i="2"/>
  <c r="N18" i="2"/>
  <c r="T55" i="3"/>
  <c r="T56" i="3"/>
  <c r="T67" i="3"/>
  <c r="T68" i="3"/>
  <c r="T79" i="3"/>
  <c r="T80" i="3"/>
  <c r="T91" i="3"/>
  <c r="T92" i="3"/>
  <c r="T57" i="3"/>
  <c r="T59" i="3"/>
  <c r="T69" i="3"/>
  <c r="T71" i="3"/>
  <c r="T81" i="3"/>
  <c r="T83" i="3"/>
  <c r="T93" i="3"/>
  <c r="T95" i="3"/>
  <c r="T103" i="3"/>
  <c r="T104" i="3"/>
  <c r="T105" i="3"/>
  <c r="T107" i="3"/>
  <c r="T115" i="3"/>
  <c r="T116" i="3"/>
  <c r="T117" i="3"/>
  <c r="T119" i="3"/>
  <c r="T127" i="3"/>
  <c r="T128" i="3"/>
  <c r="T129" i="3"/>
  <c r="T131" i="3"/>
  <c r="T139" i="3"/>
  <c r="T140" i="3"/>
  <c r="T141" i="3"/>
  <c r="T143" i="3"/>
  <c r="T151" i="3"/>
  <c r="T152" i="3"/>
  <c r="T153" i="3"/>
  <c r="T155" i="3"/>
  <c r="T163" i="3"/>
  <c r="T164" i="3"/>
  <c r="T165" i="3"/>
  <c r="T167" i="3"/>
  <c r="T175" i="3"/>
  <c r="T176" i="3"/>
  <c r="T177" i="3"/>
  <c r="T179" i="3"/>
  <c r="T187" i="3"/>
  <c r="T188" i="3"/>
  <c r="T189" i="3"/>
  <c r="T191" i="3"/>
  <c r="T199" i="3"/>
  <c r="T200" i="3"/>
  <c r="T201" i="3"/>
  <c r="T203" i="3"/>
  <c r="T211" i="3"/>
  <c r="T212" i="3"/>
  <c r="T213" i="3"/>
  <c r="T215" i="3"/>
  <c r="T223" i="3"/>
  <c r="T224" i="3"/>
  <c r="T225" i="3"/>
  <c r="T227" i="3"/>
  <c r="T235" i="3"/>
  <c r="T236" i="3"/>
  <c r="T237" i="3"/>
  <c r="T239" i="3"/>
  <c r="T247" i="3"/>
  <c r="T248" i="3"/>
  <c r="T249" i="3"/>
  <c r="T251" i="3"/>
  <c r="T259" i="3"/>
  <c r="T260" i="3"/>
  <c r="T261" i="3"/>
  <c r="T263" i="3"/>
  <c r="T271" i="3"/>
  <c r="T272" i="3"/>
  <c r="T273" i="3"/>
  <c r="T275" i="3"/>
  <c r="T283" i="3"/>
  <c r="T284" i="3"/>
  <c r="T285" i="3"/>
  <c r="T287" i="3"/>
  <c r="T295" i="3"/>
  <c r="T296" i="3"/>
  <c r="T297" i="3"/>
  <c r="T299" i="3"/>
  <c r="T307" i="3"/>
  <c r="T308" i="3"/>
  <c r="T309" i="3"/>
  <c r="T311" i="3"/>
  <c r="T320" i="3"/>
  <c r="T321" i="3"/>
  <c r="T342" i="3"/>
  <c r="T345" i="3"/>
  <c r="T346" i="3"/>
  <c r="T349" i="3"/>
  <c r="T354" i="3"/>
  <c r="T355" i="3"/>
  <c r="T416" i="3"/>
  <c r="T422" i="3"/>
  <c r="T423" i="3"/>
  <c r="T424" i="3"/>
  <c r="T425" i="3"/>
  <c r="T429" i="3"/>
  <c r="P7" i="5"/>
  <c r="P9" i="5"/>
  <c r="P10" i="5"/>
  <c r="P11" i="5"/>
  <c r="P8" i="5"/>
  <c r="P13" i="5"/>
  <c r="P14" i="5"/>
  <c r="P15" i="5"/>
  <c r="P12" i="5"/>
  <c r="P17" i="5"/>
  <c r="P18" i="5"/>
  <c r="P19" i="5"/>
  <c r="P20" i="5"/>
  <c r="P21" i="5"/>
  <c r="P22" i="5"/>
  <c r="P23" i="5"/>
  <c r="P16" i="5"/>
  <c r="P25" i="5"/>
  <c r="P26" i="5"/>
  <c r="P27" i="5"/>
  <c r="P28" i="5"/>
  <c r="P29" i="5"/>
  <c r="P30" i="5"/>
  <c r="P31" i="5"/>
  <c r="P24" i="5"/>
  <c r="P33" i="5"/>
  <c r="P34" i="5"/>
  <c r="P35" i="5"/>
  <c r="P32" i="5"/>
  <c r="P6" i="5"/>
  <c r="O5" i="2"/>
  <c r="O19" i="2"/>
  <c r="P37" i="5"/>
  <c r="P36" i="5"/>
  <c r="O17" i="2"/>
  <c r="O20" i="2"/>
  <c r="O18" i="2"/>
  <c r="U55" i="3"/>
  <c r="U56" i="3"/>
  <c r="U67" i="3"/>
  <c r="U68" i="3"/>
  <c r="U79" i="3"/>
  <c r="U80" i="3"/>
  <c r="U91" i="3"/>
  <c r="U92" i="3"/>
  <c r="U57" i="3"/>
  <c r="U59" i="3"/>
  <c r="U69" i="3"/>
  <c r="U71" i="3"/>
  <c r="U81" i="3"/>
  <c r="U83" i="3"/>
  <c r="U93" i="3"/>
  <c r="U95" i="3"/>
  <c r="U103" i="3"/>
  <c r="U104" i="3"/>
  <c r="U105" i="3"/>
  <c r="U107" i="3"/>
  <c r="U115" i="3"/>
  <c r="U116" i="3"/>
  <c r="U117" i="3"/>
  <c r="U119" i="3"/>
  <c r="U127" i="3"/>
  <c r="U128" i="3"/>
  <c r="U129" i="3"/>
  <c r="U131" i="3"/>
  <c r="U139" i="3"/>
  <c r="U140" i="3"/>
  <c r="U141" i="3"/>
  <c r="U143" i="3"/>
  <c r="U151" i="3"/>
  <c r="U152" i="3"/>
  <c r="U153" i="3"/>
  <c r="U155" i="3"/>
  <c r="U163" i="3"/>
  <c r="U164" i="3"/>
  <c r="U165" i="3"/>
  <c r="U167" i="3"/>
  <c r="U175" i="3"/>
  <c r="U176" i="3"/>
  <c r="U177" i="3"/>
  <c r="U179" i="3"/>
  <c r="U187" i="3"/>
  <c r="U188" i="3"/>
  <c r="U189" i="3"/>
  <c r="U191" i="3"/>
  <c r="U199" i="3"/>
  <c r="U200" i="3"/>
  <c r="U201" i="3"/>
  <c r="U203" i="3"/>
  <c r="U211" i="3"/>
  <c r="U212" i="3"/>
  <c r="U213" i="3"/>
  <c r="U215" i="3"/>
  <c r="U223" i="3"/>
  <c r="U224" i="3"/>
  <c r="U225" i="3"/>
  <c r="U227" i="3"/>
  <c r="U235" i="3"/>
  <c r="U236" i="3"/>
  <c r="U237" i="3"/>
  <c r="U239" i="3"/>
  <c r="U247" i="3"/>
  <c r="U248" i="3"/>
  <c r="U249" i="3"/>
  <c r="U251" i="3"/>
  <c r="U259" i="3"/>
  <c r="U260" i="3"/>
  <c r="U261" i="3"/>
  <c r="U263" i="3"/>
  <c r="U271" i="3"/>
  <c r="U272" i="3"/>
  <c r="U273" i="3"/>
  <c r="U275" i="3"/>
  <c r="U283" i="3"/>
  <c r="U284" i="3"/>
  <c r="U285" i="3"/>
  <c r="U287" i="3"/>
  <c r="U295" i="3"/>
  <c r="U296" i="3"/>
  <c r="U297" i="3"/>
  <c r="U299" i="3"/>
  <c r="U307" i="3"/>
  <c r="U308" i="3"/>
  <c r="U309" i="3"/>
  <c r="U311" i="3"/>
  <c r="U320" i="3"/>
  <c r="U321" i="3"/>
  <c r="U342" i="3"/>
  <c r="U345" i="3"/>
  <c r="U346" i="3"/>
  <c r="U349" i="3"/>
  <c r="U354" i="3"/>
  <c r="U355" i="3"/>
  <c r="U416" i="3"/>
  <c r="U422" i="3"/>
  <c r="U423" i="3"/>
  <c r="U424" i="3"/>
  <c r="U425" i="3"/>
  <c r="U429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Q7" i="5"/>
  <c r="Q9" i="5"/>
  <c r="Q10" i="5"/>
  <c r="Q11" i="5"/>
  <c r="Q8" i="5"/>
  <c r="Q13" i="5"/>
  <c r="Q14" i="5"/>
  <c r="Q15" i="5"/>
  <c r="Q12" i="5"/>
  <c r="Q17" i="5"/>
  <c r="Q18" i="5"/>
  <c r="Q19" i="5"/>
  <c r="Q20" i="5"/>
  <c r="Q21" i="5"/>
  <c r="Q22" i="5"/>
  <c r="Q23" i="5"/>
  <c r="Q16" i="5"/>
  <c r="Q25" i="5"/>
  <c r="Q26" i="5"/>
  <c r="Q27" i="5"/>
  <c r="Q28" i="5"/>
  <c r="Q29" i="5"/>
  <c r="Q30" i="5"/>
  <c r="Q31" i="5"/>
  <c r="Q24" i="5"/>
  <c r="Q33" i="5"/>
  <c r="Q34" i="5"/>
  <c r="Q35" i="5"/>
  <c r="Q32" i="5"/>
  <c r="Q6" i="5"/>
  <c r="P5" i="2"/>
  <c r="P19" i="2"/>
  <c r="Q37" i="5"/>
  <c r="Q36" i="5"/>
  <c r="P17" i="2"/>
  <c r="P20" i="2"/>
  <c r="P18" i="2"/>
  <c r="V55" i="3"/>
  <c r="V56" i="3"/>
  <c r="V67" i="3"/>
  <c r="V68" i="3"/>
  <c r="V79" i="3"/>
  <c r="V80" i="3"/>
  <c r="V91" i="3"/>
  <c r="V92" i="3"/>
  <c r="V57" i="3"/>
  <c r="V59" i="3"/>
  <c r="V69" i="3"/>
  <c r="V71" i="3"/>
  <c r="V81" i="3"/>
  <c r="V83" i="3"/>
  <c r="V93" i="3"/>
  <c r="V95" i="3"/>
  <c r="V103" i="3"/>
  <c r="V104" i="3"/>
  <c r="V105" i="3"/>
  <c r="V107" i="3"/>
  <c r="V115" i="3"/>
  <c r="V116" i="3"/>
  <c r="V117" i="3"/>
  <c r="V119" i="3"/>
  <c r="V127" i="3"/>
  <c r="V128" i="3"/>
  <c r="V129" i="3"/>
  <c r="V131" i="3"/>
  <c r="V139" i="3"/>
  <c r="V140" i="3"/>
  <c r="V141" i="3"/>
  <c r="V143" i="3"/>
  <c r="V151" i="3"/>
  <c r="V152" i="3"/>
  <c r="V153" i="3"/>
  <c r="V155" i="3"/>
  <c r="V163" i="3"/>
  <c r="V164" i="3"/>
  <c r="V165" i="3"/>
  <c r="V167" i="3"/>
  <c r="V175" i="3"/>
  <c r="V176" i="3"/>
  <c r="V177" i="3"/>
  <c r="V179" i="3"/>
  <c r="V187" i="3"/>
  <c r="V188" i="3"/>
  <c r="V189" i="3"/>
  <c r="V191" i="3"/>
  <c r="V199" i="3"/>
  <c r="V200" i="3"/>
  <c r="V201" i="3"/>
  <c r="V203" i="3"/>
  <c r="V211" i="3"/>
  <c r="V212" i="3"/>
  <c r="V213" i="3"/>
  <c r="V215" i="3"/>
  <c r="V223" i="3"/>
  <c r="V224" i="3"/>
  <c r="V225" i="3"/>
  <c r="V227" i="3"/>
  <c r="V235" i="3"/>
  <c r="V236" i="3"/>
  <c r="V237" i="3"/>
  <c r="V239" i="3"/>
  <c r="V247" i="3"/>
  <c r="V248" i="3"/>
  <c r="V249" i="3"/>
  <c r="V251" i="3"/>
  <c r="V259" i="3"/>
  <c r="V260" i="3"/>
  <c r="V261" i="3"/>
  <c r="V263" i="3"/>
  <c r="V271" i="3"/>
  <c r="V272" i="3"/>
  <c r="V273" i="3"/>
  <c r="V275" i="3"/>
  <c r="V283" i="3"/>
  <c r="V284" i="3"/>
  <c r="V285" i="3"/>
  <c r="V287" i="3"/>
  <c r="V295" i="3"/>
  <c r="V296" i="3"/>
  <c r="V297" i="3"/>
  <c r="V299" i="3"/>
  <c r="V307" i="3"/>
  <c r="V308" i="3"/>
  <c r="V309" i="3"/>
  <c r="V311" i="3"/>
  <c r="V320" i="3"/>
  <c r="V321" i="3"/>
  <c r="V342" i="3"/>
  <c r="V345" i="3"/>
  <c r="V346" i="3"/>
  <c r="V349" i="3"/>
  <c r="V354" i="3"/>
  <c r="V355" i="3"/>
  <c r="V416" i="3"/>
  <c r="V422" i="3"/>
  <c r="V423" i="3"/>
  <c r="V424" i="3"/>
  <c r="V425" i="3"/>
  <c r="V429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R7" i="5"/>
  <c r="R9" i="5"/>
  <c r="R10" i="5"/>
  <c r="R11" i="5"/>
  <c r="R8" i="5"/>
  <c r="R13" i="5"/>
  <c r="R14" i="5"/>
  <c r="R15" i="5"/>
  <c r="R12" i="5"/>
  <c r="R17" i="5"/>
  <c r="R18" i="5"/>
  <c r="R19" i="5"/>
  <c r="R20" i="5"/>
  <c r="R21" i="5"/>
  <c r="R22" i="5"/>
  <c r="R23" i="5"/>
  <c r="R16" i="5"/>
  <c r="R25" i="5"/>
  <c r="R26" i="5"/>
  <c r="R27" i="5"/>
  <c r="R28" i="5"/>
  <c r="R29" i="5"/>
  <c r="R30" i="5"/>
  <c r="R31" i="5"/>
  <c r="R24" i="5"/>
  <c r="R33" i="5"/>
  <c r="R34" i="5"/>
  <c r="R35" i="5"/>
  <c r="R32" i="5"/>
  <c r="R6" i="5"/>
  <c r="Q5" i="2"/>
  <c r="Q19" i="2"/>
  <c r="R37" i="5"/>
  <c r="R36" i="5"/>
  <c r="Q17" i="2"/>
  <c r="Q20" i="2"/>
  <c r="Q18" i="2"/>
  <c r="W55" i="3"/>
  <c r="W56" i="3"/>
  <c r="W67" i="3"/>
  <c r="W68" i="3"/>
  <c r="W79" i="3"/>
  <c r="W80" i="3"/>
  <c r="W91" i="3"/>
  <c r="W92" i="3"/>
  <c r="W57" i="3"/>
  <c r="W59" i="3"/>
  <c r="W69" i="3"/>
  <c r="W71" i="3"/>
  <c r="W81" i="3"/>
  <c r="W83" i="3"/>
  <c r="W93" i="3"/>
  <c r="W95" i="3"/>
  <c r="W103" i="3"/>
  <c r="W104" i="3"/>
  <c r="W105" i="3"/>
  <c r="W107" i="3"/>
  <c r="W115" i="3"/>
  <c r="W116" i="3"/>
  <c r="W117" i="3"/>
  <c r="W119" i="3"/>
  <c r="W127" i="3"/>
  <c r="W128" i="3"/>
  <c r="W129" i="3"/>
  <c r="W131" i="3"/>
  <c r="W139" i="3"/>
  <c r="W140" i="3"/>
  <c r="W141" i="3"/>
  <c r="W143" i="3"/>
  <c r="W151" i="3"/>
  <c r="W152" i="3"/>
  <c r="W153" i="3"/>
  <c r="W155" i="3"/>
  <c r="W163" i="3"/>
  <c r="W164" i="3"/>
  <c r="W165" i="3"/>
  <c r="W167" i="3"/>
  <c r="W175" i="3"/>
  <c r="W176" i="3"/>
  <c r="W177" i="3"/>
  <c r="W179" i="3"/>
  <c r="W187" i="3"/>
  <c r="W188" i="3"/>
  <c r="W189" i="3"/>
  <c r="W191" i="3"/>
  <c r="W199" i="3"/>
  <c r="W200" i="3"/>
  <c r="W201" i="3"/>
  <c r="W203" i="3"/>
  <c r="W211" i="3"/>
  <c r="W212" i="3"/>
  <c r="W213" i="3"/>
  <c r="W215" i="3"/>
  <c r="W223" i="3"/>
  <c r="W224" i="3"/>
  <c r="W225" i="3"/>
  <c r="W227" i="3"/>
  <c r="W235" i="3"/>
  <c r="W236" i="3"/>
  <c r="W237" i="3"/>
  <c r="W239" i="3"/>
  <c r="W247" i="3"/>
  <c r="W248" i="3"/>
  <c r="W249" i="3"/>
  <c r="W251" i="3"/>
  <c r="W259" i="3"/>
  <c r="W260" i="3"/>
  <c r="W261" i="3"/>
  <c r="W263" i="3"/>
  <c r="W271" i="3"/>
  <c r="W272" i="3"/>
  <c r="W273" i="3"/>
  <c r="W275" i="3"/>
  <c r="W283" i="3"/>
  <c r="W284" i="3"/>
  <c r="W285" i="3"/>
  <c r="W287" i="3"/>
  <c r="W295" i="3"/>
  <c r="W296" i="3"/>
  <c r="W297" i="3"/>
  <c r="W299" i="3"/>
  <c r="W307" i="3"/>
  <c r="W308" i="3"/>
  <c r="W309" i="3"/>
  <c r="W311" i="3"/>
  <c r="W320" i="3"/>
  <c r="W321" i="3"/>
  <c r="W334" i="3"/>
  <c r="W342" i="3"/>
  <c r="W345" i="3"/>
  <c r="W346" i="3"/>
  <c r="W349" i="3"/>
  <c r="W354" i="3"/>
  <c r="W355" i="3"/>
  <c r="W416" i="3"/>
  <c r="W422" i="3"/>
  <c r="W423" i="3"/>
  <c r="W424" i="3"/>
  <c r="W425" i="3"/>
  <c r="W429" i="3"/>
  <c r="S7" i="5"/>
  <c r="S9" i="5"/>
  <c r="S10" i="5"/>
  <c r="S11" i="5"/>
  <c r="S8" i="5"/>
  <c r="S13" i="5"/>
  <c r="S14" i="5"/>
  <c r="S15" i="5"/>
  <c r="S12" i="5"/>
  <c r="S17" i="5"/>
  <c r="S18" i="5"/>
  <c r="S19" i="5"/>
  <c r="S20" i="5"/>
  <c r="S21" i="5"/>
  <c r="S22" i="5"/>
  <c r="S23" i="5"/>
  <c r="S16" i="5"/>
  <c r="S25" i="5"/>
  <c r="S26" i="5"/>
  <c r="S27" i="5"/>
  <c r="S28" i="5"/>
  <c r="S29" i="5"/>
  <c r="S30" i="5"/>
  <c r="S31" i="5"/>
  <c r="S24" i="5"/>
  <c r="S33" i="5"/>
  <c r="S34" i="5"/>
  <c r="S35" i="5"/>
  <c r="S32" i="5"/>
  <c r="S6" i="5"/>
  <c r="R5" i="2"/>
  <c r="R19" i="2"/>
  <c r="S37" i="5"/>
  <c r="S36" i="5"/>
  <c r="R17" i="2"/>
  <c r="R20" i="2"/>
  <c r="R18" i="2"/>
  <c r="X55" i="3"/>
  <c r="X56" i="3"/>
  <c r="X67" i="3"/>
  <c r="X68" i="3"/>
  <c r="X79" i="3"/>
  <c r="X80" i="3"/>
  <c r="X91" i="3"/>
  <c r="X92" i="3"/>
  <c r="X57" i="3"/>
  <c r="X59" i="3"/>
  <c r="X69" i="3"/>
  <c r="X71" i="3"/>
  <c r="X81" i="3"/>
  <c r="X83" i="3"/>
  <c r="X93" i="3"/>
  <c r="X95" i="3"/>
  <c r="X103" i="3"/>
  <c r="X104" i="3"/>
  <c r="X105" i="3"/>
  <c r="X107" i="3"/>
  <c r="X115" i="3"/>
  <c r="X116" i="3"/>
  <c r="X117" i="3"/>
  <c r="X119" i="3"/>
  <c r="X127" i="3"/>
  <c r="X128" i="3"/>
  <c r="X129" i="3"/>
  <c r="X131" i="3"/>
  <c r="X139" i="3"/>
  <c r="X140" i="3"/>
  <c r="X141" i="3"/>
  <c r="X143" i="3"/>
  <c r="X151" i="3"/>
  <c r="X152" i="3"/>
  <c r="X153" i="3"/>
  <c r="X155" i="3"/>
  <c r="X163" i="3"/>
  <c r="X164" i="3"/>
  <c r="X165" i="3"/>
  <c r="X167" i="3"/>
  <c r="X175" i="3"/>
  <c r="X176" i="3"/>
  <c r="X177" i="3"/>
  <c r="X179" i="3"/>
  <c r="X187" i="3"/>
  <c r="X188" i="3"/>
  <c r="X189" i="3"/>
  <c r="X191" i="3"/>
  <c r="X199" i="3"/>
  <c r="X200" i="3"/>
  <c r="X201" i="3"/>
  <c r="X203" i="3"/>
  <c r="X211" i="3"/>
  <c r="X212" i="3"/>
  <c r="X213" i="3"/>
  <c r="X215" i="3"/>
  <c r="X223" i="3"/>
  <c r="X224" i="3"/>
  <c r="X225" i="3"/>
  <c r="X227" i="3"/>
  <c r="X235" i="3"/>
  <c r="X236" i="3"/>
  <c r="X237" i="3"/>
  <c r="X239" i="3"/>
  <c r="X247" i="3"/>
  <c r="X248" i="3"/>
  <c r="X249" i="3"/>
  <c r="X251" i="3"/>
  <c r="X259" i="3"/>
  <c r="X260" i="3"/>
  <c r="X261" i="3"/>
  <c r="X263" i="3"/>
  <c r="X271" i="3"/>
  <c r="X272" i="3"/>
  <c r="X273" i="3"/>
  <c r="X275" i="3"/>
  <c r="X283" i="3"/>
  <c r="X284" i="3"/>
  <c r="X285" i="3"/>
  <c r="X287" i="3"/>
  <c r="X295" i="3"/>
  <c r="X296" i="3"/>
  <c r="X297" i="3"/>
  <c r="X299" i="3"/>
  <c r="X307" i="3"/>
  <c r="X308" i="3"/>
  <c r="X309" i="3"/>
  <c r="X311" i="3"/>
  <c r="X320" i="3"/>
  <c r="X321" i="3"/>
  <c r="X342" i="3"/>
  <c r="X345" i="3"/>
  <c r="X346" i="3"/>
  <c r="X349" i="3"/>
  <c r="X354" i="3"/>
  <c r="X355" i="3"/>
  <c r="X416" i="3"/>
  <c r="X422" i="3"/>
  <c r="X423" i="3"/>
  <c r="X424" i="3"/>
  <c r="X425" i="3"/>
  <c r="X429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T7" i="5"/>
  <c r="T9" i="5"/>
  <c r="T10" i="5"/>
  <c r="T11" i="5"/>
  <c r="T8" i="5"/>
  <c r="T13" i="5"/>
  <c r="T14" i="5"/>
  <c r="T15" i="5"/>
  <c r="T12" i="5"/>
  <c r="T17" i="5"/>
  <c r="T18" i="5"/>
  <c r="T19" i="5"/>
  <c r="T20" i="5"/>
  <c r="T21" i="5"/>
  <c r="T22" i="5"/>
  <c r="T23" i="5"/>
  <c r="T16" i="5"/>
  <c r="T25" i="5"/>
  <c r="T26" i="5"/>
  <c r="T27" i="5"/>
  <c r="T28" i="5"/>
  <c r="T29" i="5"/>
  <c r="T30" i="5"/>
  <c r="T31" i="5"/>
  <c r="T24" i="5"/>
  <c r="T33" i="5"/>
  <c r="T34" i="5"/>
  <c r="T35" i="5"/>
  <c r="T32" i="5"/>
  <c r="T6" i="5"/>
  <c r="S5" i="2"/>
  <c r="S19" i="2"/>
  <c r="T37" i="5"/>
  <c r="T36" i="5"/>
  <c r="S17" i="2"/>
  <c r="S20" i="2"/>
  <c r="S18" i="2"/>
  <c r="Y55" i="3"/>
  <c r="Y56" i="3"/>
  <c r="Y67" i="3"/>
  <c r="Y68" i="3"/>
  <c r="Y79" i="3"/>
  <c r="Y80" i="3"/>
  <c r="Y91" i="3"/>
  <c r="Y92" i="3"/>
  <c r="Y57" i="3"/>
  <c r="Y59" i="3"/>
  <c r="Y69" i="3"/>
  <c r="Y71" i="3"/>
  <c r="Y81" i="3"/>
  <c r="Y83" i="3"/>
  <c r="Y93" i="3"/>
  <c r="Y95" i="3"/>
  <c r="Y103" i="3"/>
  <c r="Y104" i="3"/>
  <c r="Y105" i="3"/>
  <c r="Y107" i="3"/>
  <c r="Y115" i="3"/>
  <c r="Y116" i="3"/>
  <c r="Y117" i="3"/>
  <c r="Y119" i="3"/>
  <c r="Y127" i="3"/>
  <c r="Y128" i="3"/>
  <c r="Y129" i="3"/>
  <c r="Y131" i="3"/>
  <c r="Y139" i="3"/>
  <c r="Y140" i="3"/>
  <c r="Y141" i="3"/>
  <c r="Y143" i="3"/>
  <c r="Y151" i="3"/>
  <c r="Y152" i="3"/>
  <c r="Y153" i="3"/>
  <c r="Y155" i="3"/>
  <c r="Y163" i="3"/>
  <c r="Y164" i="3"/>
  <c r="Y165" i="3"/>
  <c r="Y167" i="3"/>
  <c r="Y175" i="3"/>
  <c r="Y176" i="3"/>
  <c r="Y177" i="3"/>
  <c r="Y179" i="3"/>
  <c r="Y187" i="3"/>
  <c r="Y188" i="3"/>
  <c r="Y189" i="3"/>
  <c r="Y191" i="3"/>
  <c r="Y199" i="3"/>
  <c r="Y200" i="3"/>
  <c r="Y201" i="3"/>
  <c r="Y203" i="3"/>
  <c r="Y211" i="3"/>
  <c r="Y212" i="3"/>
  <c r="Y213" i="3"/>
  <c r="Y215" i="3"/>
  <c r="Y223" i="3"/>
  <c r="Y224" i="3"/>
  <c r="Y225" i="3"/>
  <c r="Y227" i="3"/>
  <c r="Y235" i="3"/>
  <c r="Y236" i="3"/>
  <c r="Y237" i="3"/>
  <c r="Y239" i="3"/>
  <c r="Y247" i="3"/>
  <c r="Y248" i="3"/>
  <c r="Y249" i="3"/>
  <c r="Y251" i="3"/>
  <c r="Y259" i="3"/>
  <c r="Y260" i="3"/>
  <c r="Y261" i="3"/>
  <c r="Y263" i="3"/>
  <c r="Y271" i="3"/>
  <c r="Y272" i="3"/>
  <c r="Y273" i="3"/>
  <c r="Y275" i="3"/>
  <c r="Y283" i="3"/>
  <c r="Y284" i="3"/>
  <c r="Y285" i="3"/>
  <c r="Y287" i="3"/>
  <c r="Y295" i="3"/>
  <c r="Y296" i="3"/>
  <c r="Y297" i="3"/>
  <c r="Y299" i="3"/>
  <c r="Y307" i="3"/>
  <c r="Y308" i="3"/>
  <c r="Y309" i="3"/>
  <c r="Y311" i="3"/>
  <c r="Y320" i="3"/>
  <c r="Y321" i="3"/>
  <c r="Y342" i="3"/>
  <c r="Y345" i="3"/>
  <c r="Y346" i="3"/>
  <c r="Y349" i="3"/>
  <c r="Y354" i="3"/>
  <c r="Y355" i="3"/>
  <c r="Y416" i="3"/>
  <c r="Y422" i="3"/>
  <c r="Y423" i="3"/>
  <c r="Y424" i="3"/>
  <c r="Y425" i="3"/>
  <c r="Y429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10" i="3"/>
  <c r="U7" i="5"/>
  <c r="U9" i="5"/>
  <c r="U10" i="5"/>
  <c r="U11" i="5"/>
  <c r="U8" i="5"/>
  <c r="U13" i="5"/>
  <c r="U14" i="5"/>
  <c r="U15" i="5"/>
  <c r="U12" i="5"/>
  <c r="U17" i="5"/>
  <c r="U18" i="5"/>
  <c r="U19" i="5"/>
  <c r="U20" i="5"/>
  <c r="U21" i="5"/>
  <c r="U22" i="5"/>
  <c r="U23" i="5"/>
  <c r="U16" i="5"/>
  <c r="U25" i="5"/>
  <c r="U26" i="5"/>
  <c r="U27" i="5"/>
  <c r="U28" i="5"/>
  <c r="U29" i="5"/>
  <c r="U30" i="5"/>
  <c r="U31" i="5"/>
  <c r="U24" i="5"/>
  <c r="U33" i="5"/>
  <c r="U34" i="5"/>
  <c r="U35" i="5"/>
  <c r="U32" i="5"/>
  <c r="U6" i="5"/>
  <c r="T5" i="2"/>
  <c r="T19" i="2"/>
  <c r="U37" i="5"/>
  <c r="U36" i="5"/>
  <c r="T17" i="2"/>
  <c r="T20" i="2"/>
  <c r="T18" i="2"/>
  <c r="Z55" i="3"/>
  <c r="Z56" i="3"/>
  <c r="Z67" i="3"/>
  <c r="Z68" i="3"/>
  <c r="Z79" i="3"/>
  <c r="Z80" i="3"/>
  <c r="Z91" i="3"/>
  <c r="Z92" i="3"/>
  <c r="Z57" i="3"/>
  <c r="Z59" i="3"/>
  <c r="Z69" i="3"/>
  <c r="Z71" i="3"/>
  <c r="Z81" i="3"/>
  <c r="Z83" i="3"/>
  <c r="Z93" i="3"/>
  <c r="Z95" i="3"/>
  <c r="Z103" i="3"/>
  <c r="Z104" i="3"/>
  <c r="Z105" i="3"/>
  <c r="Z107" i="3"/>
  <c r="Z115" i="3"/>
  <c r="Z116" i="3"/>
  <c r="Z117" i="3"/>
  <c r="Z119" i="3"/>
  <c r="Z127" i="3"/>
  <c r="Z128" i="3"/>
  <c r="Z129" i="3"/>
  <c r="Z131" i="3"/>
  <c r="Z139" i="3"/>
  <c r="Z140" i="3"/>
  <c r="Z141" i="3"/>
  <c r="Z143" i="3"/>
  <c r="Z151" i="3"/>
  <c r="Z152" i="3"/>
  <c r="Z153" i="3"/>
  <c r="Z155" i="3"/>
  <c r="Z163" i="3"/>
  <c r="Z164" i="3"/>
  <c r="Z165" i="3"/>
  <c r="Z167" i="3"/>
  <c r="Z175" i="3"/>
  <c r="Z176" i="3"/>
  <c r="Z177" i="3"/>
  <c r="Z179" i="3"/>
  <c r="Z187" i="3"/>
  <c r="Z188" i="3"/>
  <c r="Z189" i="3"/>
  <c r="Z191" i="3"/>
  <c r="Z199" i="3"/>
  <c r="Z200" i="3"/>
  <c r="Z201" i="3"/>
  <c r="Z203" i="3"/>
  <c r="Z211" i="3"/>
  <c r="Z212" i="3"/>
  <c r="Z213" i="3"/>
  <c r="Z215" i="3"/>
  <c r="Z223" i="3"/>
  <c r="Z224" i="3"/>
  <c r="Z225" i="3"/>
  <c r="Z227" i="3"/>
  <c r="Z235" i="3"/>
  <c r="Z236" i="3"/>
  <c r="Z237" i="3"/>
  <c r="Z239" i="3"/>
  <c r="Z247" i="3"/>
  <c r="Z248" i="3"/>
  <c r="Z249" i="3"/>
  <c r="Z251" i="3"/>
  <c r="Z259" i="3"/>
  <c r="Z260" i="3"/>
  <c r="Z261" i="3"/>
  <c r="Z263" i="3"/>
  <c r="Z271" i="3"/>
  <c r="Z272" i="3"/>
  <c r="Z273" i="3"/>
  <c r="Z275" i="3"/>
  <c r="Z283" i="3"/>
  <c r="Z284" i="3"/>
  <c r="Z285" i="3"/>
  <c r="Z287" i="3"/>
  <c r="Z295" i="3"/>
  <c r="Z296" i="3"/>
  <c r="Z297" i="3"/>
  <c r="Z299" i="3"/>
  <c r="Z307" i="3"/>
  <c r="Z308" i="3"/>
  <c r="Z309" i="3"/>
  <c r="Z311" i="3"/>
  <c r="Z320" i="3"/>
  <c r="Z321" i="3"/>
  <c r="Z342" i="3"/>
  <c r="Z345" i="3"/>
  <c r="Z346" i="3"/>
  <c r="Z349" i="3"/>
  <c r="Z354" i="3"/>
  <c r="Z355" i="3"/>
  <c r="Z416" i="3"/>
  <c r="Z422" i="3"/>
  <c r="Z423" i="3"/>
  <c r="Z424" i="3"/>
  <c r="Z425" i="3"/>
  <c r="Z429" i="3"/>
  <c r="V7" i="5"/>
  <c r="V9" i="5"/>
  <c r="V10" i="5"/>
  <c r="V11" i="5"/>
  <c r="V8" i="5"/>
  <c r="V13" i="5"/>
  <c r="V14" i="5"/>
  <c r="V15" i="5"/>
  <c r="V12" i="5"/>
  <c r="V17" i="5"/>
  <c r="V18" i="5"/>
  <c r="V19" i="5"/>
  <c r="V20" i="5"/>
  <c r="V21" i="5"/>
  <c r="V22" i="5"/>
  <c r="V23" i="5"/>
  <c r="V16" i="5"/>
  <c r="V25" i="5"/>
  <c r="V26" i="5"/>
  <c r="V27" i="5"/>
  <c r="V28" i="5"/>
  <c r="V29" i="5"/>
  <c r="V30" i="5"/>
  <c r="V31" i="5"/>
  <c r="V24" i="5"/>
  <c r="V33" i="5"/>
  <c r="V34" i="5"/>
  <c r="V35" i="5"/>
  <c r="V32" i="5"/>
  <c r="V6" i="5"/>
  <c r="U5" i="2"/>
  <c r="U19" i="2"/>
  <c r="V37" i="5"/>
  <c r="V36" i="5"/>
  <c r="U17" i="2"/>
  <c r="U20" i="2"/>
  <c r="U18" i="2"/>
  <c r="AA55" i="3"/>
  <c r="AA56" i="3"/>
  <c r="AA67" i="3"/>
  <c r="AA68" i="3"/>
  <c r="AA79" i="3"/>
  <c r="AA80" i="3"/>
  <c r="AA91" i="3"/>
  <c r="AA92" i="3"/>
  <c r="AA57" i="3"/>
  <c r="AA59" i="3"/>
  <c r="AA69" i="3"/>
  <c r="AA71" i="3"/>
  <c r="AA81" i="3"/>
  <c r="AA83" i="3"/>
  <c r="AA93" i="3"/>
  <c r="AA95" i="3"/>
  <c r="AA103" i="3"/>
  <c r="AA104" i="3"/>
  <c r="AA105" i="3"/>
  <c r="AA107" i="3"/>
  <c r="AA115" i="3"/>
  <c r="AA116" i="3"/>
  <c r="AA117" i="3"/>
  <c r="AA119" i="3"/>
  <c r="AA127" i="3"/>
  <c r="AA128" i="3"/>
  <c r="AA129" i="3"/>
  <c r="AA131" i="3"/>
  <c r="AA139" i="3"/>
  <c r="AA140" i="3"/>
  <c r="AA141" i="3"/>
  <c r="AA143" i="3"/>
  <c r="AA151" i="3"/>
  <c r="AA152" i="3"/>
  <c r="AA153" i="3"/>
  <c r="AA155" i="3"/>
  <c r="AA163" i="3"/>
  <c r="AA164" i="3"/>
  <c r="AA165" i="3"/>
  <c r="AA167" i="3"/>
  <c r="AA175" i="3"/>
  <c r="AA176" i="3"/>
  <c r="AA177" i="3"/>
  <c r="AA179" i="3"/>
  <c r="AA187" i="3"/>
  <c r="AA188" i="3"/>
  <c r="AA189" i="3"/>
  <c r="AA191" i="3"/>
  <c r="AA199" i="3"/>
  <c r="AA200" i="3"/>
  <c r="AA201" i="3"/>
  <c r="AA203" i="3"/>
  <c r="AA211" i="3"/>
  <c r="AA212" i="3"/>
  <c r="AA213" i="3"/>
  <c r="AA215" i="3"/>
  <c r="AA223" i="3"/>
  <c r="AA224" i="3"/>
  <c r="AA225" i="3"/>
  <c r="AA227" i="3"/>
  <c r="AA235" i="3"/>
  <c r="AA236" i="3"/>
  <c r="AA237" i="3"/>
  <c r="AA239" i="3"/>
  <c r="AA247" i="3"/>
  <c r="AA248" i="3"/>
  <c r="AA249" i="3"/>
  <c r="AA251" i="3"/>
  <c r="AA259" i="3"/>
  <c r="AA260" i="3"/>
  <c r="AA261" i="3"/>
  <c r="AA263" i="3"/>
  <c r="AA271" i="3"/>
  <c r="AA272" i="3"/>
  <c r="AA273" i="3"/>
  <c r="AA275" i="3"/>
  <c r="AA283" i="3"/>
  <c r="AA284" i="3"/>
  <c r="AA285" i="3"/>
  <c r="AA287" i="3"/>
  <c r="AA295" i="3"/>
  <c r="AA296" i="3"/>
  <c r="AA297" i="3"/>
  <c r="AA299" i="3"/>
  <c r="AA307" i="3"/>
  <c r="AA308" i="3"/>
  <c r="AA309" i="3"/>
  <c r="AA311" i="3"/>
  <c r="AA320" i="3"/>
  <c r="AA321" i="3"/>
  <c r="AA334" i="3"/>
  <c r="AA342" i="3"/>
  <c r="AA345" i="3"/>
  <c r="AA346" i="3"/>
  <c r="AA349" i="3"/>
  <c r="AA354" i="3"/>
  <c r="AA355" i="3"/>
  <c r="AA416" i="3"/>
  <c r="AA422" i="3"/>
  <c r="AA423" i="3"/>
  <c r="AA424" i="3"/>
  <c r="AA425" i="3"/>
  <c r="AA429" i="3"/>
  <c r="W7" i="5"/>
  <c r="W9" i="5"/>
  <c r="W10" i="5"/>
  <c r="W11" i="5"/>
  <c r="W8" i="5"/>
  <c r="W13" i="5"/>
  <c r="W14" i="5"/>
  <c r="W15" i="5"/>
  <c r="W12" i="5"/>
  <c r="W17" i="5"/>
  <c r="W18" i="5"/>
  <c r="W19" i="5"/>
  <c r="W20" i="5"/>
  <c r="W21" i="5"/>
  <c r="W22" i="5"/>
  <c r="W23" i="5"/>
  <c r="W16" i="5"/>
  <c r="W25" i="5"/>
  <c r="W26" i="5"/>
  <c r="W27" i="5"/>
  <c r="W28" i="5"/>
  <c r="W29" i="5"/>
  <c r="W30" i="5"/>
  <c r="W31" i="5"/>
  <c r="W24" i="5"/>
  <c r="W33" i="5"/>
  <c r="W34" i="5"/>
  <c r="W35" i="5"/>
  <c r="W32" i="5"/>
  <c r="W6" i="5"/>
  <c r="V5" i="2"/>
  <c r="V19" i="2"/>
  <c r="W37" i="5"/>
  <c r="W36" i="5"/>
  <c r="V17" i="2"/>
  <c r="V20" i="2"/>
  <c r="V18" i="2"/>
  <c r="AB55" i="3"/>
  <c r="AB56" i="3"/>
  <c r="AB67" i="3"/>
  <c r="AB68" i="3"/>
  <c r="AB79" i="3"/>
  <c r="AB80" i="3"/>
  <c r="AB91" i="3"/>
  <c r="AB92" i="3"/>
  <c r="AB57" i="3"/>
  <c r="AB59" i="3"/>
  <c r="AB69" i="3"/>
  <c r="AB71" i="3"/>
  <c r="AB81" i="3"/>
  <c r="AB83" i="3"/>
  <c r="AB93" i="3"/>
  <c r="AB95" i="3"/>
  <c r="AB103" i="3"/>
  <c r="AB104" i="3"/>
  <c r="AB105" i="3"/>
  <c r="AB107" i="3"/>
  <c r="AB115" i="3"/>
  <c r="AB116" i="3"/>
  <c r="AB117" i="3"/>
  <c r="AB119" i="3"/>
  <c r="AB127" i="3"/>
  <c r="AB128" i="3"/>
  <c r="AB129" i="3"/>
  <c r="AB131" i="3"/>
  <c r="AB139" i="3"/>
  <c r="AB140" i="3"/>
  <c r="AB141" i="3"/>
  <c r="AB143" i="3"/>
  <c r="AB151" i="3"/>
  <c r="AB152" i="3"/>
  <c r="AB153" i="3"/>
  <c r="AB155" i="3"/>
  <c r="AB163" i="3"/>
  <c r="AB164" i="3"/>
  <c r="AB165" i="3"/>
  <c r="AB167" i="3"/>
  <c r="AB175" i="3"/>
  <c r="AB176" i="3"/>
  <c r="AB177" i="3"/>
  <c r="AB179" i="3"/>
  <c r="AB187" i="3"/>
  <c r="AB188" i="3"/>
  <c r="AB189" i="3"/>
  <c r="AB191" i="3"/>
  <c r="AB199" i="3"/>
  <c r="AB200" i="3"/>
  <c r="AB201" i="3"/>
  <c r="AB203" i="3"/>
  <c r="AB211" i="3"/>
  <c r="AB212" i="3"/>
  <c r="AB213" i="3"/>
  <c r="AB215" i="3"/>
  <c r="AB223" i="3"/>
  <c r="AB224" i="3"/>
  <c r="AB225" i="3"/>
  <c r="AB227" i="3"/>
  <c r="AB235" i="3"/>
  <c r="AB236" i="3"/>
  <c r="AB237" i="3"/>
  <c r="AB239" i="3"/>
  <c r="AB247" i="3"/>
  <c r="AB248" i="3"/>
  <c r="AB249" i="3"/>
  <c r="AB251" i="3"/>
  <c r="AB259" i="3"/>
  <c r="AB260" i="3"/>
  <c r="AB261" i="3"/>
  <c r="AB263" i="3"/>
  <c r="AB271" i="3"/>
  <c r="AB272" i="3"/>
  <c r="AB273" i="3"/>
  <c r="AB275" i="3"/>
  <c r="AB283" i="3"/>
  <c r="AB284" i="3"/>
  <c r="AB285" i="3"/>
  <c r="AB287" i="3"/>
  <c r="AB295" i="3"/>
  <c r="AB296" i="3"/>
  <c r="AB297" i="3"/>
  <c r="AB299" i="3"/>
  <c r="AB307" i="3"/>
  <c r="AB308" i="3"/>
  <c r="AB309" i="3"/>
  <c r="AB311" i="3"/>
  <c r="AB320" i="3"/>
  <c r="AB321" i="3"/>
  <c r="AB342" i="3"/>
  <c r="AB345" i="3"/>
  <c r="AB346" i="3"/>
  <c r="AB349" i="3"/>
  <c r="AB354" i="3"/>
  <c r="AB355" i="3"/>
  <c r="AB416" i="3"/>
  <c r="AB422" i="3"/>
  <c r="AB423" i="3"/>
  <c r="AB424" i="3"/>
  <c r="AB425" i="3"/>
  <c r="AB429" i="3"/>
  <c r="X7" i="5"/>
  <c r="X9" i="5"/>
  <c r="X10" i="5"/>
  <c r="X11" i="5"/>
  <c r="X8" i="5"/>
  <c r="X13" i="5"/>
  <c r="X14" i="5"/>
  <c r="X15" i="5"/>
  <c r="X12" i="5"/>
  <c r="X17" i="5"/>
  <c r="X18" i="5"/>
  <c r="X19" i="5"/>
  <c r="X20" i="5"/>
  <c r="X21" i="5"/>
  <c r="X22" i="5"/>
  <c r="X23" i="5"/>
  <c r="X16" i="5"/>
  <c r="X25" i="5"/>
  <c r="X26" i="5"/>
  <c r="X27" i="5"/>
  <c r="X28" i="5"/>
  <c r="X29" i="5"/>
  <c r="X30" i="5"/>
  <c r="X31" i="5"/>
  <c r="X24" i="5"/>
  <c r="X33" i="5"/>
  <c r="X34" i="5"/>
  <c r="X35" i="5"/>
  <c r="X32" i="5"/>
  <c r="X6" i="5"/>
  <c r="W5" i="2"/>
  <c r="W19" i="2"/>
  <c r="X37" i="5"/>
  <c r="X36" i="5"/>
  <c r="W17" i="2"/>
  <c r="W20" i="2"/>
  <c r="W18" i="2"/>
  <c r="AC55" i="3"/>
  <c r="AC56" i="3"/>
  <c r="AC67" i="3"/>
  <c r="AC68" i="3"/>
  <c r="AC79" i="3"/>
  <c r="AC80" i="3"/>
  <c r="AC91" i="3"/>
  <c r="AC92" i="3"/>
  <c r="AC57" i="3"/>
  <c r="AC59" i="3"/>
  <c r="AC69" i="3"/>
  <c r="AC71" i="3"/>
  <c r="AC81" i="3"/>
  <c r="AC83" i="3"/>
  <c r="AC93" i="3"/>
  <c r="AC95" i="3"/>
  <c r="AC103" i="3"/>
  <c r="AC104" i="3"/>
  <c r="AC105" i="3"/>
  <c r="AC107" i="3"/>
  <c r="AC115" i="3"/>
  <c r="AC116" i="3"/>
  <c r="AC117" i="3"/>
  <c r="AC119" i="3"/>
  <c r="AC127" i="3"/>
  <c r="AC128" i="3"/>
  <c r="AC129" i="3"/>
  <c r="AC131" i="3"/>
  <c r="AC139" i="3"/>
  <c r="AC140" i="3"/>
  <c r="AC141" i="3"/>
  <c r="AC143" i="3"/>
  <c r="AC151" i="3"/>
  <c r="AC152" i="3"/>
  <c r="AC153" i="3"/>
  <c r="AC155" i="3"/>
  <c r="AC163" i="3"/>
  <c r="AC164" i="3"/>
  <c r="AC165" i="3"/>
  <c r="AC167" i="3"/>
  <c r="AC175" i="3"/>
  <c r="AC176" i="3"/>
  <c r="AC177" i="3"/>
  <c r="AC179" i="3"/>
  <c r="AC187" i="3"/>
  <c r="AC188" i="3"/>
  <c r="AC189" i="3"/>
  <c r="AC191" i="3"/>
  <c r="AC199" i="3"/>
  <c r="AC200" i="3"/>
  <c r="AC201" i="3"/>
  <c r="AC203" i="3"/>
  <c r="AC211" i="3"/>
  <c r="AC212" i="3"/>
  <c r="AC213" i="3"/>
  <c r="AC215" i="3"/>
  <c r="AC223" i="3"/>
  <c r="AC224" i="3"/>
  <c r="AC225" i="3"/>
  <c r="AC227" i="3"/>
  <c r="AC235" i="3"/>
  <c r="AC236" i="3"/>
  <c r="AC237" i="3"/>
  <c r="AC239" i="3"/>
  <c r="AC247" i="3"/>
  <c r="AC248" i="3"/>
  <c r="AC249" i="3"/>
  <c r="AC251" i="3"/>
  <c r="AC259" i="3"/>
  <c r="AC260" i="3"/>
  <c r="AC261" i="3"/>
  <c r="AC263" i="3"/>
  <c r="AC271" i="3"/>
  <c r="AC272" i="3"/>
  <c r="AC273" i="3"/>
  <c r="AC275" i="3"/>
  <c r="AC283" i="3"/>
  <c r="AC284" i="3"/>
  <c r="AC285" i="3"/>
  <c r="AC287" i="3"/>
  <c r="AC295" i="3"/>
  <c r="AC296" i="3"/>
  <c r="AC297" i="3"/>
  <c r="AC299" i="3"/>
  <c r="AC307" i="3"/>
  <c r="AC308" i="3"/>
  <c r="AC309" i="3"/>
  <c r="AC311" i="3"/>
  <c r="AC320" i="3"/>
  <c r="AC321" i="3"/>
  <c r="AC342" i="3"/>
  <c r="AC345" i="3"/>
  <c r="AC346" i="3"/>
  <c r="AC349" i="3"/>
  <c r="AC354" i="3"/>
  <c r="AC355" i="3"/>
  <c r="AC416" i="3"/>
  <c r="AC422" i="3"/>
  <c r="AC423" i="3"/>
  <c r="AC424" i="3"/>
  <c r="AC425" i="3"/>
  <c r="AC429" i="3"/>
  <c r="Y7" i="5"/>
  <c r="Y9" i="5"/>
  <c r="Y10" i="5"/>
  <c r="Y11" i="5"/>
  <c r="Y8" i="5"/>
  <c r="Y13" i="5"/>
  <c r="Y14" i="5"/>
  <c r="Y15" i="5"/>
  <c r="Y12" i="5"/>
  <c r="Y17" i="5"/>
  <c r="Y18" i="5"/>
  <c r="Y19" i="5"/>
  <c r="Y20" i="5"/>
  <c r="Y21" i="5"/>
  <c r="Y22" i="5"/>
  <c r="Y23" i="5"/>
  <c r="Y16" i="5"/>
  <c r="Y25" i="5"/>
  <c r="Y26" i="5"/>
  <c r="Y27" i="5"/>
  <c r="Y28" i="5"/>
  <c r="Y29" i="5"/>
  <c r="Y30" i="5"/>
  <c r="Y31" i="5"/>
  <c r="Y24" i="5"/>
  <c r="Y33" i="5"/>
  <c r="Y34" i="5"/>
  <c r="Y35" i="5"/>
  <c r="Y32" i="5"/>
  <c r="Y6" i="5"/>
  <c r="X5" i="2"/>
  <c r="X19" i="2"/>
  <c r="Y37" i="5"/>
  <c r="Y36" i="5"/>
  <c r="X17" i="2"/>
  <c r="X20" i="2"/>
  <c r="X18" i="2"/>
  <c r="AD47" i="3"/>
  <c r="AD54" i="3"/>
  <c r="AD55" i="3"/>
  <c r="AD56" i="3"/>
  <c r="AD66" i="3"/>
  <c r="AD67" i="3"/>
  <c r="AD68" i="3"/>
  <c r="AD78" i="3"/>
  <c r="AD79" i="3"/>
  <c r="AD80" i="3"/>
  <c r="AD90" i="3"/>
  <c r="AD91" i="3"/>
  <c r="AD92" i="3"/>
  <c r="AD57" i="3"/>
  <c r="AD59" i="3"/>
  <c r="AD69" i="3"/>
  <c r="AD71" i="3"/>
  <c r="AD81" i="3"/>
  <c r="AD83" i="3"/>
  <c r="AD93" i="3"/>
  <c r="AD95" i="3"/>
  <c r="AD102" i="3"/>
  <c r="AD103" i="3"/>
  <c r="AD104" i="3"/>
  <c r="AD105" i="3"/>
  <c r="AD107" i="3"/>
  <c r="AD114" i="3"/>
  <c r="AD115" i="3"/>
  <c r="AD116" i="3"/>
  <c r="AD117" i="3"/>
  <c r="AD119" i="3"/>
  <c r="AD126" i="3"/>
  <c r="AD127" i="3"/>
  <c r="AD128" i="3"/>
  <c r="AD129" i="3"/>
  <c r="AD131" i="3"/>
  <c r="AD138" i="3"/>
  <c r="AD139" i="3"/>
  <c r="AD140" i="3"/>
  <c r="AD141" i="3"/>
  <c r="AD143" i="3"/>
  <c r="AD150" i="3"/>
  <c r="AD151" i="3"/>
  <c r="AD152" i="3"/>
  <c r="AD153" i="3"/>
  <c r="AD155" i="3"/>
  <c r="AD162" i="3"/>
  <c r="AD163" i="3"/>
  <c r="AD164" i="3"/>
  <c r="AD165" i="3"/>
  <c r="AD167" i="3"/>
  <c r="AD174" i="3"/>
  <c r="AD175" i="3"/>
  <c r="AD176" i="3"/>
  <c r="AD177" i="3"/>
  <c r="AD179" i="3"/>
  <c r="AD186" i="3"/>
  <c r="AD187" i="3"/>
  <c r="AD188" i="3"/>
  <c r="AD189" i="3"/>
  <c r="AD191" i="3"/>
  <c r="AD198" i="3"/>
  <c r="AD199" i="3"/>
  <c r="AD200" i="3"/>
  <c r="AD201" i="3"/>
  <c r="AD203" i="3"/>
  <c r="AD210" i="3"/>
  <c r="AD211" i="3"/>
  <c r="AD212" i="3"/>
  <c r="AD213" i="3"/>
  <c r="AD215" i="3"/>
  <c r="AD222" i="3"/>
  <c r="AD223" i="3"/>
  <c r="AD224" i="3"/>
  <c r="AD225" i="3"/>
  <c r="AD227" i="3"/>
  <c r="AD234" i="3"/>
  <c r="AD235" i="3"/>
  <c r="AD236" i="3"/>
  <c r="AD237" i="3"/>
  <c r="AD239" i="3"/>
  <c r="AD246" i="3"/>
  <c r="AD247" i="3"/>
  <c r="AD248" i="3"/>
  <c r="AD249" i="3"/>
  <c r="AD251" i="3"/>
  <c r="AD258" i="3"/>
  <c r="AD259" i="3"/>
  <c r="AD260" i="3"/>
  <c r="AD261" i="3"/>
  <c r="AD263" i="3"/>
  <c r="AD270" i="3"/>
  <c r="AD271" i="3"/>
  <c r="AD272" i="3"/>
  <c r="AD273" i="3"/>
  <c r="AD275" i="3"/>
  <c r="AD282" i="3"/>
  <c r="AD283" i="3"/>
  <c r="AD284" i="3"/>
  <c r="AD285" i="3"/>
  <c r="AD287" i="3"/>
  <c r="AD294" i="3"/>
  <c r="AD295" i="3"/>
  <c r="AD296" i="3"/>
  <c r="AD297" i="3"/>
  <c r="AD299" i="3"/>
  <c r="AD306" i="3"/>
  <c r="AD307" i="3"/>
  <c r="AD308" i="3"/>
  <c r="AD309" i="3"/>
  <c r="AD311" i="3"/>
  <c r="AD320" i="3"/>
  <c r="AD321" i="3"/>
  <c r="AD342" i="3"/>
  <c r="AD345" i="3"/>
  <c r="AD346" i="3"/>
  <c r="AD349" i="3"/>
  <c r="AD354" i="3"/>
  <c r="AD355" i="3"/>
  <c r="AD416" i="3"/>
  <c r="AD422" i="3"/>
  <c r="AD423" i="3"/>
  <c r="AD424" i="3"/>
  <c r="AD425" i="3"/>
  <c r="AD429" i="3"/>
  <c r="Z7" i="5"/>
  <c r="Z9" i="5"/>
  <c r="Z10" i="5"/>
  <c r="Z11" i="5"/>
  <c r="Z8" i="5"/>
  <c r="Z13" i="5"/>
  <c r="Z14" i="5"/>
  <c r="Z15" i="5"/>
  <c r="Z12" i="5"/>
  <c r="Z17" i="5"/>
  <c r="Z18" i="5"/>
  <c r="Z19" i="5"/>
  <c r="Z20" i="5"/>
  <c r="Z21" i="5"/>
  <c r="Z22" i="5"/>
  <c r="Z23" i="5"/>
  <c r="Z16" i="5"/>
  <c r="Z25" i="5"/>
  <c r="Z26" i="5"/>
  <c r="Z27" i="5"/>
  <c r="Z28" i="5"/>
  <c r="Z29" i="5"/>
  <c r="Z30" i="5"/>
  <c r="Z31" i="5"/>
  <c r="Z24" i="5"/>
  <c r="Z33" i="5"/>
  <c r="Z34" i="5"/>
  <c r="Z35" i="5"/>
  <c r="Z32" i="5"/>
  <c r="Z6" i="5"/>
  <c r="Y5" i="2"/>
  <c r="Y19" i="2"/>
  <c r="Z37" i="5"/>
  <c r="Z36" i="5"/>
  <c r="Y17" i="2"/>
  <c r="Y20" i="2"/>
  <c r="Y18" i="2"/>
  <c r="AE47" i="3"/>
  <c r="AE54" i="3"/>
  <c r="AE55" i="3"/>
  <c r="AE56" i="3"/>
  <c r="AE66" i="3"/>
  <c r="AE67" i="3"/>
  <c r="AE68" i="3"/>
  <c r="AE78" i="3"/>
  <c r="AE79" i="3"/>
  <c r="AE80" i="3"/>
  <c r="AE90" i="3"/>
  <c r="AE91" i="3"/>
  <c r="AE92" i="3"/>
  <c r="AE57" i="3"/>
  <c r="AE59" i="3"/>
  <c r="AE69" i="3"/>
  <c r="AE71" i="3"/>
  <c r="AE81" i="3"/>
  <c r="AE83" i="3"/>
  <c r="AE93" i="3"/>
  <c r="AE95" i="3"/>
  <c r="AE102" i="3"/>
  <c r="AE103" i="3"/>
  <c r="AE104" i="3"/>
  <c r="AE105" i="3"/>
  <c r="AE107" i="3"/>
  <c r="AE114" i="3"/>
  <c r="AE115" i="3"/>
  <c r="AE116" i="3"/>
  <c r="AE117" i="3"/>
  <c r="AE119" i="3"/>
  <c r="AE126" i="3"/>
  <c r="AE127" i="3"/>
  <c r="AE128" i="3"/>
  <c r="AE129" i="3"/>
  <c r="AE131" i="3"/>
  <c r="AE138" i="3"/>
  <c r="AE139" i="3"/>
  <c r="AE140" i="3"/>
  <c r="AE141" i="3"/>
  <c r="AE143" i="3"/>
  <c r="AE150" i="3"/>
  <c r="AE151" i="3"/>
  <c r="AE152" i="3"/>
  <c r="AE153" i="3"/>
  <c r="AE155" i="3"/>
  <c r="AE162" i="3"/>
  <c r="AE163" i="3"/>
  <c r="AE164" i="3"/>
  <c r="AE165" i="3"/>
  <c r="AE167" i="3"/>
  <c r="AE174" i="3"/>
  <c r="AE175" i="3"/>
  <c r="AE176" i="3"/>
  <c r="AE177" i="3"/>
  <c r="AE179" i="3"/>
  <c r="AE186" i="3"/>
  <c r="AE187" i="3"/>
  <c r="AE188" i="3"/>
  <c r="AE189" i="3"/>
  <c r="AE191" i="3"/>
  <c r="AE198" i="3"/>
  <c r="AE199" i="3"/>
  <c r="AE200" i="3"/>
  <c r="AE201" i="3"/>
  <c r="AE203" i="3"/>
  <c r="AE210" i="3"/>
  <c r="AE211" i="3"/>
  <c r="AE212" i="3"/>
  <c r="AE213" i="3"/>
  <c r="AE215" i="3"/>
  <c r="AE222" i="3"/>
  <c r="AE223" i="3"/>
  <c r="AE224" i="3"/>
  <c r="AE225" i="3"/>
  <c r="AE227" i="3"/>
  <c r="AE234" i="3"/>
  <c r="AE235" i="3"/>
  <c r="AE236" i="3"/>
  <c r="AE237" i="3"/>
  <c r="AE239" i="3"/>
  <c r="AE246" i="3"/>
  <c r="AE247" i="3"/>
  <c r="AE248" i="3"/>
  <c r="AE249" i="3"/>
  <c r="AE251" i="3"/>
  <c r="AE258" i="3"/>
  <c r="AE259" i="3"/>
  <c r="AE260" i="3"/>
  <c r="AE261" i="3"/>
  <c r="AE263" i="3"/>
  <c r="AE270" i="3"/>
  <c r="AE271" i="3"/>
  <c r="AE272" i="3"/>
  <c r="AE273" i="3"/>
  <c r="AE275" i="3"/>
  <c r="AE282" i="3"/>
  <c r="AE283" i="3"/>
  <c r="AE284" i="3"/>
  <c r="AE285" i="3"/>
  <c r="AE287" i="3"/>
  <c r="AE294" i="3"/>
  <c r="AE295" i="3"/>
  <c r="AE296" i="3"/>
  <c r="AE297" i="3"/>
  <c r="AE299" i="3"/>
  <c r="AE306" i="3"/>
  <c r="AE307" i="3"/>
  <c r="AE308" i="3"/>
  <c r="AE309" i="3"/>
  <c r="AE311" i="3"/>
  <c r="AE320" i="3"/>
  <c r="AE321" i="3"/>
  <c r="AE334" i="3"/>
  <c r="AE342" i="3"/>
  <c r="AE345" i="3"/>
  <c r="AE346" i="3"/>
  <c r="AE349" i="3"/>
  <c r="AE354" i="3"/>
  <c r="AE355" i="3"/>
  <c r="AE416" i="3"/>
  <c r="AE422" i="3"/>
  <c r="AE423" i="3"/>
  <c r="AE424" i="3"/>
  <c r="AE425" i="3"/>
  <c r="AE429" i="3"/>
  <c r="AA7" i="5"/>
  <c r="AA9" i="5"/>
  <c r="AA10" i="5"/>
  <c r="AA11" i="5"/>
  <c r="AA8" i="5"/>
  <c r="AA13" i="5"/>
  <c r="AA14" i="5"/>
  <c r="AA15" i="5"/>
  <c r="AA12" i="5"/>
  <c r="AA17" i="5"/>
  <c r="AA18" i="5"/>
  <c r="AA19" i="5"/>
  <c r="AA20" i="5"/>
  <c r="AA21" i="5"/>
  <c r="AA22" i="5"/>
  <c r="AA23" i="5"/>
  <c r="AA16" i="5"/>
  <c r="AA25" i="5"/>
  <c r="AA26" i="5"/>
  <c r="AA27" i="5"/>
  <c r="AA28" i="5"/>
  <c r="AA29" i="5"/>
  <c r="AA30" i="5"/>
  <c r="AA31" i="5"/>
  <c r="AA24" i="5"/>
  <c r="AA33" i="5"/>
  <c r="AA34" i="5"/>
  <c r="AA35" i="5"/>
  <c r="AA32" i="5"/>
  <c r="AA6" i="5"/>
  <c r="Z5" i="2"/>
  <c r="Z19" i="2"/>
  <c r="AA37" i="5"/>
  <c r="AA36" i="5"/>
  <c r="Z17" i="2"/>
  <c r="Z20" i="2"/>
  <c r="Z18" i="2"/>
  <c r="AF47" i="3"/>
  <c r="AF54" i="3"/>
  <c r="AF55" i="3"/>
  <c r="AF56" i="3"/>
  <c r="AF66" i="3"/>
  <c r="AF67" i="3"/>
  <c r="AF68" i="3"/>
  <c r="AF78" i="3"/>
  <c r="AF79" i="3"/>
  <c r="AF80" i="3"/>
  <c r="AF90" i="3"/>
  <c r="AF91" i="3"/>
  <c r="AF92" i="3"/>
  <c r="AF57" i="3"/>
  <c r="AF59" i="3"/>
  <c r="AF69" i="3"/>
  <c r="AF71" i="3"/>
  <c r="AF81" i="3"/>
  <c r="AF83" i="3"/>
  <c r="AF93" i="3"/>
  <c r="AF95" i="3"/>
  <c r="AF102" i="3"/>
  <c r="AF103" i="3"/>
  <c r="AF104" i="3"/>
  <c r="AF105" i="3"/>
  <c r="AF107" i="3"/>
  <c r="AF114" i="3"/>
  <c r="AF115" i="3"/>
  <c r="AF116" i="3"/>
  <c r="AF117" i="3"/>
  <c r="AF119" i="3"/>
  <c r="AF126" i="3"/>
  <c r="AF127" i="3"/>
  <c r="AF128" i="3"/>
  <c r="AF129" i="3"/>
  <c r="AF131" i="3"/>
  <c r="AF138" i="3"/>
  <c r="AF139" i="3"/>
  <c r="AF140" i="3"/>
  <c r="AF141" i="3"/>
  <c r="AF143" i="3"/>
  <c r="AF150" i="3"/>
  <c r="AF151" i="3"/>
  <c r="AF152" i="3"/>
  <c r="AF153" i="3"/>
  <c r="AF155" i="3"/>
  <c r="AF162" i="3"/>
  <c r="AF163" i="3"/>
  <c r="AF164" i="3"/>
  <c r="AF165" i="3"/>
  <c r="AF167" i="3"/>
  <c r="AF174" i="3"/>
  <c r="AF175" i="3"/>
  <c r="AF176" i="3"/>
  <c r="AF177" i="3"/>
  <c r="AF179" i="3"/>
  <c r="AF186" i="3"/>
  <c r="AF187" i="3"/>
  <c r="AF188" i="3"/>
  <c r="AF189" i="3"/>
  <c r="AF191" i="3"/>
  <c r="AF198" i="3"/>
  <c r="AF199" i="3"/>
  <c r="AF200" i="3"/>
  <c r="AF201" i="3"/>
  <c r="AF203" i="3"/>
  <c r="AF210" i="3"/>
  <c r="AF211" i="3"/>
  <c r="AF212" i="3"/>
  <c r="AF213" i="3"/>
  <c r="AF215" i="3"/>
  <c r="AF222" i="3"/>
  <c r="AF223" i="3"/>
  <c r="AF224" i="3"/>
  <c r="AF225" i="3"/>
  <c r="AF227" i="3"/>
  <c r="AF234" i="3"/>
  <c r="AF235" i="3"/>
  <c r="AF236" i="3"/>
  <c r="AF237" i="3"/>
  <c r="AF239" i="3"/>
  <c r="AF246" i="3"/>
  <c r="AF247" i="3"/>
  <c r="AF248" i="3"/>
  <c r="AF249" i="3"/>
  <c r="AF251" i="3"/>
  <c r="AF258" i="3"/>
  <c r="AF259" i="3"/>
  <c r="AF260" i="3"/>
  <c r="AF261" i="3"/>
  <c r="AF263" i="3"/>
  <c r="AF270" i="3"/>
  <c r="AF271" i="3"/>
  <c r="AF272" i="3"/>
  <c r="AF273" i="3"/>
  <c r="AF275" i="3"/>
  <c r="AF282" i="3"/>
  <c r="AF283" i="3"/>
  <c r="AF284" i="3"/>
  <c r="AF285" i="3"/>
  <c r="AF287" i="3"/>
  <c r="AF294" i="3"/>
  <c r="AF295" i="3"/>
  <c r="AF296" i="3"/>
  <c r="AF297" i="3"/>
  <c r="AF299" i="3"/>
  <c r="AF306" i="3"/>
  <c r="AF307" i="3"/>
  <c r="AF308" i="3"/>
  <c r="AF309" i="3"/>
  <c r="AF311" i="3"/>
  <c r="AF320" i="3"/>
  <c r="AF321" i="3"/>
  <c r="AF342" i="3"/>
  <c r="AF345" i="3"/>
  <c r="AF346" i="3"/>
  <c r="AF349" i="3"/>
  <c r="AF354" i="3"/>
  <c r="AF355" i="3"/>
  <c r="AF416" i="3"/>
  <c r="AF422" i="3"/>
  <c r="AF423" i="3"/>
  <c r="AF424" i="3"/>
  <c r="AF425" i="3"/>
  <c r="AF429" i="3"/>
  <c r="AB7" i="5"/>
  <c r="AB9" i="5"/>
  <c r="AB10" i="5"/>
  <c r="AB11" i="5"/>
  <c r="AB8" i="5"/>
  <c r="AB13" i="5"/>
  <c r="AB14" i="5"/>
  <c r="AB15" i="5"/>
  <c r="AB12" i="5"/>
  <c r="AB17" i="5"/>
  <c r="AB18" i="5"/>
  <c r="AB19" i="5"/>
  <c r="AB20" i="5"/>
  <c r="AB21" i="5"/>
  <c r="AB22" i="5"/>
  <c r="AB23" i="5"/>
  <c r="AB16" i="5"/>
  <c r="AB25" i="5"/>
  <c r="AB26" i="5"/>
  <c r="AB27" i="5"/>
  <c r="AB28" i="5"/>
  <c r="AB29" i="5"/>
  <c r="AB30" i="5"/>
  <c r="AB31" i="5"/>
  <c r="AB24" i="5"/>
  <c r="AB33" i="5"/>
  <c r="AB34" i="5"/>
  <c r="AB35" i="5"/>
  <c r="AB32" i="5"/>
  <c r="AB6" i="5"/>
  <c r="AA5" i="2"/>
  <c r="AA19" i="2"/>
  <c r="AB37" i="5"/>
  <c r="AB36" i="5"/>
  <c r="AA17" i="2"/>
  <c r="AA20" i="2"/>
  <c r="AA18" i="2"/>
  <c r="AG47" i="3"/>
  <c r="AG54" i="3"/>
  <c r="AG55" i="3"/>
  <c r="AG56" i="3"/>
  <c r="AG66" i="3"/>
  <c r="AG67" i="3"/>
  <c r="AG68" i="3"/>
  <c r="AG78" i="3"/>
  <c r="AG79" i="3"/>
  <c r="AG80" i="3"/>
  <c r="AG90" i="3"/>
  <c r="AG91" i="3"/>
  <c r="AG92" i="3"/>
  <c r="AG57" i="3"/>
  <c r="AG59" i="3"/>
  <c r="AG69" i="3"/>
  <c r="AG71" i="3"/>
  <c r="AG81" i="3"/>
  <c r="AG83" i="3"/>
  <c r="AG93" i="3"/>
  <c r="AG95" i="3"/>
  <c r="AG102" i="3"/>
  <c r="AG103" i="3"/>
  <c r="AG104" i="3"/>
  <c r="AG105" i="3"/>
  <c r="AG107" i="3"/>
  <c r="AG114" i="3"/>
  <c r="AG115" i="3"/>
  <c r="AG116" i="3"/>
  <c r="AG117" i="3"/>
  <c r="AG119" i="3"/>
  <c r="AG126" i="3"/>
  <c r="AG127" i="3"/>
  <c r="AG128" i="3"/>
  <c r="AG129" i="3"/>
  <c r="AG131" i="3"/>
  <c r="AG138" i="3"/>
  <c r="AG139" i="3"/>
  <c r="AG140" i="3"/>
  <c r="AG141" i="3"/>
  <c r="AG143" i="3"/>
  <c r="AG150" i="3"/>
  <c r="AG151" i="3"/>
  <c r="AG152" i="3"/>
  <c r="AG153" i="3"/>
  <c r="AG155" i="3"/>
  <c r="AG162" i="3"/>
  <c r="AG163" i="3"/>
  <c r="AG164" i="3"/>
  <c r="AG165" i="3"/>
  <c r="AG167" i="3"/>
  <c r="AG174" i="3"/>
  <c r="AG175" i="3"/>
  <c r="AG176" i="3"/>
  <c r="AG177" i="3"/>
  <c r="AG179" i="3"/>
  <c r="AG186" i="3"/>
  <c r="AG187" i="3"/>
  <c r="AG188" i="3"/>
  <c r="AG189" i="3"/>
  <c r="AG191" i="3"/>
  <c r="AG198" i="3"/>
  <c r="AG199" i="3"/>
  <c r="AG200" i="3"/>
  <c r="AG201" i="3"/>
  <c r="AG203" i="3"/>
  <c r="AG210" i="3"/>
  <c r="AG211" i="3"/>
  <c r="AG212" i="3"/>
  <c r="AG213" i="3"/>
  <c r="AG215" i="3"/>
  <c r="AG222" i="3"/>
  <c r="AG223" i="3"/>
  <c r="AG224" i="3"/>
  <c r="AG225" i="3"/>
  <c r="AG227" i="3"/>
  <c r="AG234" i="3"/>
  <c r="AG235" i="3"/>
  <c r="AG236" i="3"/>
  <c r="AG237" i="3"/>
  <c r="AG239" i="3"/>
  <c r="AG246" i="3"/>
  <c r="AG247" i="3"/>
  <c r="AG248" i="3"/>
  <c r="AG249" i="3"/>
  <c r="AG251" i="3"/>
  <c r="AG258" i="3"/>
  <c r="AG259" i="3"/>
  <c r="AG260" i="3"/>
  <c r="AG261" i="3"/>
  <c r="AG263" i="3"/>
  <c r="AG270" i="3"/>
  <c r="AG271" i="3"/>
  <c r="AG272" i="3"/>
  <c r="AG273" i="3"/>
  <c r="AG275" i="3"/>
  <c r="AG282" i="3"/>
  <c r="AG283" i="3"/>
  <c r="AG284" i="3"/>
  <c r="AG285" i="3"/>
  <c r="AG287" i="3"/>
  <c r="AG294" i="3"/>
  <c r="AG295" i="3"/>
  <c r="AG296" i="3"/>
  <c r="AG297" i="3"/>
  <c r="AG299" i="3"/>
  <c r="AG306" i="3"/>
  <c r="AG307" i="3"/>
  <c r="AG308" i="3"/>
  <c r="AG309" i="3"/>
  <c r="AG311" i="3"/>
  <c r="AG320" i="3"/>
  <c r="AG321" i="3"/>
  <c r="AG342" i="3"/>
  <c r="AG345" i="3"/>
  <c r="AG346" i="3"/>
  <c r="AG349" i="3"/>
  <c r="AG354" i="3"/>
  <c r="AG355" i="3"/>
  <c r="AG416" i="3"/>
  <c r="AG422" i="3"/>
  <c r="AG423" i="3"/>
  <c r="AG424" i="3"/>
  <c r="AG425" i="3"/>
  <c r="AG429" i="3"/>
  <c r="AC7" i="5"/>
  <c r="AC9" i="5"/>
  <c r="AC10" i="5"/>
  <c r="AC11" i="5"/>
  <c r="AC8" i="5"/>
  <c r="AC13" i="5"/>
  <c r="AC14" i="5"/>
  <c r="AC15" i="5"/>
  <c r="AC12" i="5"/>
  <c r="AC17" i="5"/>
  <c r="AC18" i="5"/>
  <c r="AC19" i="5"/>
  <c r="AC20" i="5"/>
  <c r="AC21" i="5"/>
  <c r="AC22" i="5"/>
  <c r="AC23" i="5"/>
  <c r="AC16" i="5"/>
  <c r="AC25" i="5"/>
  <c r="AC26" i="5"/>
  <c r="AC27" i="5"/>
  <c r="AC28" i="5"/>
  <c r="AC29" i="5"/>
  <c r="AC30" i="5"/>
  <c r="AC31" i="5"/>
  <c r="AC24" i="5"/>
  <c r="AC33" i="5"/>
  <c r="AC34" i="5"/>
  <c r="AC35" i="5"/>
  <c r="AC32" i="5"/>
  <c r="AC6" i="5"/>
  <c r="AB5" i="2"/>
  <c r="AB19" i="2"/>
  <c r="AC37" i="5"/>
  <c r="AC36" i="5"/>
  <c r="AB17" i="2"/>
  <c r="AB20" i="2"/>
  <c r="AB18" i="2"/>
  <c r="AH47" i="3"/>
  <c r="AH54" i="3"/>
  <c r="AH55" i="3"/>
  <c r="AH56" i="3"/>
  <c r="AH66" i="3"/>
  <c r="AH67" i="3"/>
  <c r="AH68" i="3"/>
  <c r="AH78" i="3"/>
  <c r="AH79" i="3"/>
  <c r="AH80" i="3"/>
  <c r="AH90" i="3"/>
  <c r="AH91" i="3"/>
  <c r="AH92" i="3"/>
  <c r="AH57" i="3"/>
  <c r="AH59" i="3"/>
  <c r="AH69" i="3"/>
  <c r="AH71" i="3"/>
  <c r="AH81" i="3"/>
  <c r="AH83" i="3"/>
  <c r="AH93" i="3"/>
  <c r="AH95" i="3"/>
  <c r="AH102" i="3"/>
  <c r="AH103" i="3"/>
  <c r="AH104" i="3"/>
  <c r="AH105" i="3"/>
  <c r="AH107" i="3"/>
  <c r="AH114" i="3"/>
  <c r="AH115" i="3"/>
  <c r="AH116" i="3"/>
  <c r="AH117" i="3"/>
  <c r="AH119" i="3"/>
  <c r="AH126" i="3"/>
  <c r="AH127" i="3"/>
  <c r="AH128" i="3"/>
  <c r="AH129" i="3"/>
  <c r="AH131" i="3"/>
  <c r="AH138" i="3"/>
  <c r="AH139" i="3"/>
  <c r="AH140" i="3"/>
  <c r="AH141" i="3"/>
  <c r="AH143" i="3"/>
  <c r="AH150" i="3"/>
  <c r="AH151" i="3"/>
  <c r="AH152" i="3"/>
  <c r="AH153" i="3"/>
  <c r="AH155" i="3"/>
  <c r="AH162" i="3"/>
  <c r="AH163" i="3"/>
  <c r="AH164" i="3"/>
  <c r="AH165" i="3"/>
  <c r="AH167" i="3"/>
  <c r="AH174" i="3"/>
  <c r="AH175" i="3"/>
  <c r="AH176" i="3"/>
  <c r="AH177" i="3"/>
  <c r="AH179" i="3"/>
  <c r="AH186" i="3"/>
  <c r="AH187" i="3"/>
  <c r="AH188" i="3"/>
  <c r="AH189" i="3"/>
  <c r="AH191" i="3"/>
  <c r="AH198" i="3"/>
  <c r="AH199" i="3"/>
  <c r="AH200" i="3"/>
  <c r="AH201" i="3"/>
  <c r="AH203" i="3"/>
  <c r="AH210" i="3"/>
  <c r="AH211" i="3"/>
  <c r="AH212" i="3"/>
  <c r="AH213" i="3"/>
  <c r="AH215" i="3"/>
  <c r="AH222" i="3"/>
  <c r="AH223" i="3"/>
  <c r="AH224" i="3"/>
  <c r="AH225" i="3"/>
  <c r="AH227" i="3"/>
  <c r="AH234" i="3"/>
  <c r="AH235" i="3"/>
  <c r="AH236" i="3"/>
  <c r="AH237" i="3"/>
  <c r="AH239" i="3"/>
  <c r="AH246" i="3"/>
  <c r="AH247" i="3"/>
  <c r="AH248" i="3"/>
  <c r="AH249" i="3"/>
  <c r="AH251" i="3"/>
  <c r="AH258" i="3"/>
  <c r="AH259" i="3"/>
  <c r="AH260" i="3"/>
  <c r="AH261" i="3"/>
  <c r="AH263" i="3"/>
  <c r="AH270" i="3"/>
  <c r="AH271" i="3"/>
  <c r="AH272" i="3"/>
  <c r="AH273" i="3"/>
  <c r="AH275" i="3"/>
  <c r="AH282" i="3"/>
  <c r="AH283" i="3"/>
  <c r="AH284" i="3"/>
  <c r="AH285" i="3"/>
  <c r="AH287" i="3"/>
  <c r="AH294" i="3"/>
  <c r="AH295" i="3"/>
  <c r="AH296" i="3"/>
  <c r="AH297" i="3"/>
  <c r="AH299" i="3"/>
  <c r="AH306" i="3"/>
  <c r="AH307" i="3"/>
  <c r="AH308" i="3"/>
  <c r="AH309" i="3"/>
  <c r="AH311" i="3"/>
  <c r="AH320" i="3"/>
  <c r="AH321" i="3"/>
  <c r="AH342" i="3"/>
  <c r="AH345" i="3"/>
  <c r="AH346" i="3"/>
  <c r="AH349" i="3"/>
  <c r="AH354" i="3"/>
  <c r="AH355" i="3"/>
  <c r="AH416" i="3"/>
  <c r="AH422" i="3"/>
  <c r="AH423" i="3"/>
  <c r="AH424" i="3"/>
  <c r="AH425" i="3"/>
  <c r="AH429" i="3"/>
  <c r="AD7" i="5"/>
  <c r="AD9" i="5"/>
  <c r="AD10" i="5"/>
  <c r="AD11" i="5"/>
  <c r="AD8" i="5"/>
  <c r="AD13" i="5"/>
  <c r="AD14" i="5"/>
  <c r="AD15" i="5"/>
  <c r="AD12" i="5"/>
  <c r="AD17" i="5"/>
  <c r="AD18" i="5"/>
  <c r="AD19" i="5"/>
  <c r="AD20" i="5"/>
  <c r="AD21" i="5"/>
  <c r="AD22" i="5"/>
  <c r="AD23" i="5"/>
  <c r="AD16" i="5"/>
  <c r="AD25" i="5"/>
  <c r="AD26" i="5"/>
  <c r="AD27" i="5"/>
  <c r="AD28" i="5"/>
  <c r="AD29" i="5"/>
  <c r="AD30" i="5"/>
  <c r="AD31" i="5"/>
  <c r="AD24" i="5"/>
  <c r="AD33" i="5"/>
  <c r="AD34" i="5"/>
  <c r="AD35" i="5"/>
  <c r="AD32" i="5"/>
  <c r="AD6" i="5"/>
  <c r="AC5" i="2"/>
  <c r="AC19" i="2"/>
  <c r="AD37" i="5"/>
  <c r="AD36" i="5"/>
  <c r="AC17" i="2"/>
  <c r="AC20" i="2"/>
  <c r="AC18" i="2"/>
  <c r="AI47" i="3"/>
  <c r="AI54" i="3"/>
  <c r="AI55" i="3"/>
  <c r="AI56" i="3"/>
  <c r="AI66" i="3"/>
  <c r="AI67" i="3"/>
  <c r="AI68" i="3"/>
  <c r="AI78" i="3"/>
  <c r="AI79" i="3"/>
  <c r="AI80" i="3"/>
  <c r="AI90" i="3"/>
  <c r="AI91" i="3"/>
  <c r="AI92" i="3"/>
  <c r="AI57" i="3"/>
  <c r="AI59" i="3"/>
  <c r="AI69" i="3"/>
  <c r="AI71" i="3"/>
  <c r="AI81" i="3"/>
  <c r="AI83" i="3"/>
  <c r="AI93" i="3"/>
  <c r="AI95" i="3"/>
  <c r="AI102" i="3"/>
  <c r="AI103" i="3"/>
  <c r="AI104" i="3"/>
  <c r="AI105" i="3"/>
  <c r="AI107" i="3"/>
  <c r="AI114" i="3"/>
  <c r="AI115" i="3"/>
  <c r="AI116" i="3"/>
  <c r="AI117" i="3"/>
  <c r="AI119" i="3"/>
  <c r="AI126" i="3"/>
  <c r="AI127" i="3"/>
  <c r="AI128" i="3"/>
  <c r="AI129" i="3"/>
  <c r="AI131" i="3"/>
  <c r="AI138" i="3"/>
  <c r="AI139" i="3"/>
  <c r="AI140" i="3"/>
  <c r="AI141" i="3"/>
  <c r="AI143" i="3"/>
  <c r="AI150" i="3"/>
  <c r="AI151" i="3"/>
  <c r="AI152" i="3"/>
  <c r="AI153" i="3"/>
  <c r="AI155" i="3"/>
  <c r="AI162" i="3"/>
  <c r="AI163" i="3"/>
  <c r="AI164" i="3"/>
  <c r="AI165" i="3"/>
  <c r="AI167" i="3"/>
  <c r="AI174" i="3"/>
  <c r="AI175" i="3"/>
  <c r="AI176" i="3"/>
  <c r="AI177" i="3"/>
  <c r="AI179" i="3"/>
  <c r="AI186" i="3"/>
  <c r="AI187" i="3"/>
  <c r="AI188" i="3"/>
  <c r="AI189" i="3"/>
  <c r="AI191" i="3"/>
  <c r="AI198" i="3"/>
  <c r="AI199" i="3"/>
  <c r="AI200" i="3"/>
  <c r="AI201" i="3"/>
  <c r="AI203" i="3"/>
  <c r="AI210" i="3"/>
  <c r="AI211" i="3"/>
  <c r="AI212" i="3"/>
  <c r="AI213" i="3"/>
  <c r="AI215" i="3"/>
  <c r="AI222" i="3"/>
  <c r="AI223" i="3"/>
  <c r="AI224" i="3"/>
  <c r="AI225" i="3"/>
  <c r="AI227" i="3"/>
  <c r="AI234" i="3"/>
  <c r="AI235" i="3"/>
  <c r="AI236" i="3"/>
  <c r="AI237" i="3"/>
  <c r="AI239" i="3"/>
  <c r="AI246" i="3"/>
  <c r="AI247" i="3"/>
  <c r="AI248" i="3"/>
  <c r="AI249" i="3"/>
  <c r="AI251" i="3"/>
  <c r="AI258" i="3"/>
  <c r="AI259" i="3"/>
  <c r="AI260" i="3"/>
  <c r="AI261" i="3"/>
  <c r="AI263" i="3"/>
  <c r="AI270" i="3"/>
  <c r="AI271" i="3"/>
  <c r="AI272" i="3"/>
  <c r="AI273" i="3"/>
  <c r="AI275" i="3"/>
  <c r="AI282" i="3"/>
  <c r="AI283" i="3"/>
  <c r="AI284" i="3"/>
  <c r="AI285" i="3"/>
  <c r="AI287" i="3"/>
  <c r="AI294" i="3"/>
  <c r="AI295" i="3"/>
  <c r="AI296" i="3"/>
  <c r="AI297" i="3"/>
  <c r="AI299" i="3"/>
  <c r="AI306" i="3"/>
  <c r="AI307" i="3"/>
  <c r="AI308" i="3"/>
  <c r="AI309" i="3"/>
  <c r="AI311" i="3"/>
  <c r="AI320" i="3"/>
  <c r="AI321" i="3"/>
  <c r="AI334" i="3"/>
  <c r="AI342" i="3"/>
  <c r="AI345" i="3"/>
  <c r="AI346" i="3"/>
  <c r="AI349" i="3"/>
  <c r="AI354" i="3"/>
  <c r="AI355" i="3"/>
  <c r="AI416" i="3"/>
  <c r="AI422" i="3"/>
  <c r="AI423" i="3"/>
  <c r="AI424" i="3"/>
  <c r="AI425" i="3"/>
  <c r="AI429" i="3"/>
  <c r="AE7" i="5"/>
  <c r="AE9" i="5"/>
  <c r="AE10" i="5"/>
  <c r="AE11" i="5"/>
  <c r="AE8" i="5"/>
  <c r="AE13" i="5"/>
  <c r="AE14" i="5"/>
  <c r="AE15" i="5"/>
  <c r="AE12" i="5"/>
  <c r="AE17" i="5"/>
  <c r="AE18" i="5"/>
  <c r="AE19" i="5"/>
  <c r="AE20" i="5"/>
  <c r="AE21" i="5"/>
  <c r="AE22" i="5"/>
  <c r="AE23" i="5"/>
  <c r="AE16" i="5"/>
  <c r="AE25" i="5"/>
  <c r="AE26" i="5"/>
  <c r="AE27" i="5"/>
  <c r="AE28" i="5"/>
  <c r="AE29" i="5"/>
  <c r="AE30" i="5"/>
  <c r="AE31" i="5"/>
  <c r="AE24" i="5"/>
  <c r="AE33" i="5"/>
  <c r="AE34" i="5"/>
  <c r="AE35" i="5"/>
  <c r="AE32" i="5"/>
  <c r="AE6" i="5"/>
  <c r="AD5" i="2"/>
  <c r="AD19" i="2"/>
  <c r="AE37" i="5"/>
  <c r="AE36" i="5"/>
  <c r="AD17" i="2"/>
  <c r="AD20" i="2"/>
  <c r="AD18" i="2"/>
  <c r="AJ47" i="3"/>
  <c r="AJ54" i="3"/>
  <c r="AJ55" i="3"/>
  <c r="AJ56" i="3"/>
  <c r="AJ66" i="3"/>
  <c r="AJ67" i="3"/>
  <c r="AJ68" i="3"/>
  <c r="AJ78" i="3"/>
  <c r="AJ79" i="3"/>
  <c r="AJ80" i="3"/>
  <c r="AJ90" i="3"/>
  <c r="AJ91" i="3"/>
  <c r="AJ92" i="3"/>
  <c r="AJ57" i="3"/>
  <c r="AJ59" i="3"/>
  <c r="AJ69" i="3"/>
  <c r="AJ71" i="3"/>
  <c r="AJ81" i="3"/>
  <c r="AJ83" i="3"/>
  <c r="AJ93" i="3"/>
  <c r="AJ95" i="3"/>
  <c r="AJ102" i="3"/>
  <c r="AJ103" i="3"/>
  <c r="AJ104" i="3"/>
  <c r="AJ105" i="3"/>
  <c r="AJ107" i="3"/>
  <c r="AJ114" i="3"/>
  <c r="AJ115" i="3"/>
  <c r="AJ116" i="3"/>
  <c r="AJ117" i="3"/>
  <c r="AJ119" i="3"/>
  <c r="AJ126" i="3"/>
  <c r="AJ127" i="3"/>
  <c r="AJ128" i="3"/>
  <c r="AJ129" i="3"/>
  <c r="AJ131" i="3"/>
  <c r="AJ138" i="3"/>
  <c r="AJ139" i="3"/>
  <c r="AJ140" i="3"/>
  <c r="AJ141" i="3"/>
  <c r="AJ143" i="3"/>
  <c r="AJ150" i="3"/>
  <c r="AJ151" i="3"/>
  <c r="AJ152" i="3"/>
  <c r="AJ153" i="3"/>
  <c r="AJ155" i="3"/>
  <c r="AJ162" i="3"/>
  <c r="AJ163" i="3"/>
  <c r="AJ164" i="3"/>
  <c r="AJ165" i="3"/>
  <c r="AJ167" i="3"/>
  <c r="AJ174" i="3"/>
  <c r="AJ175" i="3"/>
  <c r="AJ176" i="3"/>
  <c r="AJ177" i="3"/>
  <c r="AJ179" i="3"/>
  <c r="AJ186" i="3"/>
  <c r="AJ187" i="3"/>
  <c r="AJ188" i="3"/>
  <c r="AJ189" i="3"/>
  <c r="AJ191" i="3"/>
  <c r="AJ198" i="3"/>
  <c r="AJ199" i="3"/>
  <c r="AJ200" i="3"/>
  <c r="AJ201" i="3"/>
  <c r="AJ203" i="3"/>
  <c r="AJ210" i="3"/>
  <c r="AJ211" i="3"/>
  <c r="AJ212" i="3"/>
  <c r="AJ213" i="3"/>
  <c r="AJ215" i="3"/>
  <c r="AJ222" i="3"/>
  <c r="AJ223" i="3"/>
  <c r="AJ224" i="3"/>
  <c r="AJ225" i="3"/>
  <c r="AJ227" i="3"/>
  <c r="AJ234" i="3"/>
  <c r="AJ235" i="3"/>
  <c r="AJ236" i="3"/>
  <c r="AJ237" i="3"/>
  <c r="AJ239" i="3"/>
  <c r="AJ246" i="3"/>
  <c r="AJ247" i="3"/>
  <c r="AJ248" i="3"/>
  <c r="AJ249" i="3"/>
  <c r="AJ251" i="3"/>
  <c r="AJ258" i="3"/>
  <c r="AJ259" i="3"/>
  <c r="AJ260" i="3"/>
  <c r="AJ261" i="3"/>
  <c r="AJ263" i="3"/>
  <c r="AJ270" i="3"/>
  <c r="AJ271" i="3"/>
  <c r="AJ272" i="3"/>
  <c r="AJ273" i="3"/>
  <c r="AJ275" i="3"/>
  <c r="AJ282" i="3"/>
  <c r="AJ283" i="3"/>
  <c r="AJ284" i="3"/>
  <c r="AJ285" i="3"/>
  <c r="AJ287" i="3"/>
  <c r="AJ294" i="3"/>
  <c r="AJ295" i="3"/>
  <c r="AJ296" i="3"/>
  <c r="AJ297" i="3"/>
  <c r="AJ299" i="3"/>
  <c r="AJ306" i="3"/>
  <c r="AJ307" i="3"/>
  <c r="AJ308" i="3"/>
  <c r="AJ309" i="3"/>
  <c r="AJ311" i="3"/>
  <c r="AJ320" i="3"/>
  <c r="AJ321" i="3"/>
  <c r="AJ342" i="3"/>
  <c r="AJ345" i="3"/>
  <c r="AJ346" i="3"/>
  <c r="AJ349" i="3"/>
  <c r="AJ354" i="3"/>
  <c r="AJ355" i="3"/>
  <c r="AJ416" i="3"/>
  <c r="AJ422" i="3"/>
  <c r="AJ423" i="3"/>
  <c r="AJ424" i="3"/>
  <c r="AJ425" i="3"/>
  <c r="AJ429" i="3"/>
  <c r="AF7" i="5"/>
  <c r="AF9" i="5"/>
  <c r="AF10" i="5"/>
  <c r="AF11" i="5"/>
  <c r="AF8" i="5"/>
  <c r="AF13" i="5"/>
  <c r="AF14" i="5"/>
  <c r="AF15" i="5"/>
  <c r="AF12" i="5"/>
  <c r="AF17" i="5"/>
  <c r="AF18" i="5"/>
  <c r="AF19" i="5"/>
  <c r="AF20" i="5"/>
  <c r="AF21" i="5"/>
  <c r="AF22" i="5"/>
  <c r="AF23" i="5"/>
  <c r="AF16" i="5"/>
  <c r="AF25" i="5"/>
  <c r="AF26" i="5"/>
  <c r="AF27" i="5"/>
  <c r="AF28" i="5"/>
  <c r="AF29" i="5"/>
  <c r="AF30" i="5"/>
  <c r="AF31" i="5"/>
  <c r="AF24" i="5"/>
  <c r="AF33" i="5"/>
  <c r="AF34" i="5"/>
  <c r="AF35" i="5"/>
  <c r="AF32" i="5"/>
  <c r="AF6" i="5"/>
  <c r="AE5" i="2"/>
  <c r="AE19" i="2"/>
  <c r="AF37" i="5"/>
  <c r="AF36" i="5"/>
  <c r="AE17" i="2"/>
  <c r="AE20" i="2"/>
  <c r="AE18" i="2"/>
  <c r="AK47" i="3"/>
  <c r="AK54" i="3"/>
  <c r="AK55" i="3"/>
  <c r="AK56" i="3"/>
  <c r="AK66" i="3"/>
  <c r="AK67" i="3"/>
  <c r="AK68" i="3"/>
  <c r="AK78" i="3"/>
  <c r="AK79" i="3"/>
  <c r="AK80" i="3"/>
  <c r="AK90" i="3"/>
  <c r="AK91" i="3"/>
  <c r="AK92" i="3"/>
  <c r="AK57" i="3"/>
  <c r="AK59" i="3"/>
  <c r="AK69" i="3"/>
  <c r="AK71" i="3"/>
  <c r="AK81" i="3"/>
  <c r="AK83" i="3"/>
  <c r="AK93" i="3"/>
  <c r="AK95" i="3"/>
  <c r="AK102" i="3"/>
  <c r="AK103" i="3"/>
  <c r="AK104" i="3"/>
  <c r="AK105" i="3"/>
  <c r="AK107" i="3"/>
  <c r="AK114" i="3"/>
  <c r="AK115" i="3"/>
  <c r="AK116" i="3"/>
  <c r="AK117" i="3"/>
  <c r="AK119" i="3"/>
  <c r="AK126" i="3"/>
  <c r="AK127" i="3"/>
  <c r="AK128" i="3"/>
  <c r="AK129" i="3"/>
  <c r="AK131" i="3"/>
  <c r="AK138" i="3"/>
  <c r="AK139" i="3"/>
  <c r="AK140" i="3"/>
  <c r="AK141" i="3"/>
  <c r="AK143" i="3"/>
  <c r="AK150" i="3"/>
  <c r="AK151" i="3"/>
  <c r="AK152" i="3"/>
  <c r="AK153" i="3"/>
  <c r="AK155" i="3"/>
  <c r="AK162" i="3"/>
  <c r="AK163" i="3"/>
  <c r="AK164" i="3"/>
  <c r="AK165" i="3"/>
  <c r="AK167" i="3"/>
  <c r="AK174" i="3"/>
  <c r="AK175" i="3"/>
  <c r="AK176" i="3"/>
  <c r="AK177" i="3"/>
  <c r="AK179" i="3"/>
  <c r="AK186" i="3"/>
  <c r="AK187" i="3"/>
  <c r="AK188" i="3"/>
  <c r="AK189" i="3"/>
  <c r="AK191" i="3"/>
  <c r="AK198" i="3"/>
  <c r="AK199" i="3"/>
  <c r="AK200" i="3"/>
  <c r="AK201" i="3"/>
  <c r="AK203" i="3"/>
  <c r="AK210" i="3"/>
  <c r="AK211" i="3"/>
  <c r="AK212" i="3"/>
  <c r="AK213" i="3"/>
  <c r="AK215" i="3"/>
  <c r="AK222" i="3"/>
  <c r="AK223" i="3"/>
  <c r="AK224" i="3"/>
  <c r="AK225" i="3"/>
  <c r="AK227" i="3"/>
  <c r="AK234" i="3"/>
  <c r="AK235" i="3"/>
  <c r="AK236" i="3"/>
  <c r="AK237" i="3"/>
  <c r="AK239" i="3"/>
  <c r="AK246" i="3"/>
  <c r="AK247" i="3"/>
  <c r="AK248" i="3"/>
  <c r="AK249" i="3"/>
  <c r="AK251" i="3"/>
  <c r="AK258" i="3"/>
  <c r="AK259" i="3"/>
  <c r="AK260" i="3"/>
  <c r="AK261" i="3"/>
  <c r="AK263" i="3"/>
  <c r="AK270" i="3"/>
  <c r="AK271" i="3"/>
  <c r="AK272" i="3"/>
  <c r="AK273" i="3"/>
  <c r="AK275" i="3"/>
  <c r="AK282" i="3"/>
  <c r="AK283" i="3"/>
  <c r="AK284" i="3"/>
  <c r="AK285" i="3"/>
  <c r="AK287" i="3"/>
  <c r="AK294" i="3"/>
  <c r="AK295" i="3"/>
  <c r="AK296" i="3"/>
  <c r="AK297" i="3"/>
  <c r="AK299" i="3"/>
  <c r="AK306" i="3"/>
  <c r="AK307" i="3"/>
  <c r="AK308" i="3"/>
  <c r="AK309" i="3"/>
  <c r="AK311" i="3"/>
  <c r="AK320" i="3"/>
  <c r="AK321" i="3"/>
  <c r="AK342" i="3"/>
  <c r="AK345" i="3"/>
  <c r="AK346" i="3"/>
  <c r="AK349" i="3"/>
  <c r="AK354" i="3"/>
  <c r="AK355" i="3"/>
  <c r="AK416" i="3"/>
  <c r="AK422" i="3"/>
  <c r="AK423" i="3"/>
  <c r="AK424" i="3"/>
  <c r="AK425" i="3"/>
  <c r="AK429" i="3"/>
  <c r="AG7" i="5"/>
  <c r="AG9" i="5"/>
  <c r="AG10" i="5"/>
  <c r="AG11" i="5"/>
  <c r="AG8" i="5"/>
  <c r="AG13" i="5"/>
  <c r="AG14" i="5"/>
  <c r="AG15" i="5"/>
  <c r="AG12" i="5"/>
  <c r="AG17" i="5"/>
  <c r="AG18" i="5"/>
  <c r="AG19" i="5"/>
  <c r="AG20" i="5"/>
  <c r="AG21" i="5"/>
  <c r="AG22" i="5"/>
  <c r="AG23" i="5"/>
  <c r="AG16" i="5"/>
  <c r="AG25" i="5"/>
  <c r="AG26" i="5"/>
  <c r="AG27" i="5"/>
  <c r="AG28" i="5"/>
  <c r="AG29" i="5"/>
  <c r="AG30" i="5"/>
  <c r="AG31" i="5"/>
  <c r="AG24" i="5"/>
  <c r="AG33" i="5"/>
  <c r="AG34" i="5"/>
  <c r="AG35" i="5"/>
  <c r="AG32" i="5"/>
  <c r="AG6" i="5"/>
  <c r="AF5" i="2"/>
  <c r="AF19" i="2"/>
  <c r="AG37" i="5"/>
  <c r="AG36" i="5"/>
  <c r="AF17" i="2"/>
  <c r="AF20" i="2"/>
  <c r="AF18" i="2"/>
  <c r="AL47" i="3"/>
  <c r="AL54" i="3"/>
  <c r="AL55" i="3"/>
  <c r="AL56" i="3"/>
  <c r="AL66" i="3"/>
  <c r="AL67" i="3"/>
  <c r="AL68" i="3"/>
  <c r="AL78" i="3"/>
  <c r="AL79" i="3"/>
  <c r="AL80" i="3"/>
  <c r="AL90" i="3"/>
  <c r="AL91" i="3"/>
  <c r="AL92" i="3"/>
  <c r="AL57" i="3"/>
  <c r="AL59" i="3"/>
  <c r="AL69" i="3"/>
  <c r="AL71" i="3"/>
  <c r="AL81" i="3"/>
  <c r="AL83" i="3"/>
  <c r="AL93" i="3"/>
  <c r="AL95" i="3"/>
  <c r="AL102" i="3"/>
  <c r="AL103" i="3"/>
  <c r="AL104" i="3"/>
  <c r="AL105" i="3"/>
  <c r="AL107" i="3"/>
  <c r="AL114" i="3"/>
  <c r="AL115" i="3"/>
  <c r="AL116" i="3"/>
  <c r="AL117" i="3"/>
  <c r="AL119" i="3"/>
  <c r="AL126" i="3"/>
  <c r="AL127" i="3"/>
  <c r="AL128" i="3"/>
  <c r="AL129" i="3"/>
  <c r="AL131" i="3"/>
  <c r="AL138" i="3"/>
  <c r="AL139" i="3"/>
  <c r="AL140" i="3"/>
  <c r="AL141" i="3"/>
  <c r="AL143" i="3"/>
  <c r="AL150" i="3"/>
  <c r="AL151" i="3"/>
  <c r="AL152" i="3"/>
  <c r="AL153" i="3"/>
  <c r="AL155" i="3"/>
  <c r="AL162" i="3"/>
  <c r="AL163" i="3"/>
  <c r="AL164" i="3"/>
  <c r="AL165" i="3"/>
  <c r="AL167" i="3"/>
  <c r="AL174" i="3"/>
  <c r="AL175" i="3"/>
  <c r="AL176" i="3"/>
  <c r="AL177" i="3"/>
  <c r="AL179" i="3"/>
  <c r="AL186" i="3"/>
  <c r="AL187" i="3"/>
  <c r="AL188" i="3"/>
  <c r="AL189" i="3"/>
  <c r="AL191" i="3"/>
  <c r="AL198" i="3"/>
  <c r="AL199" i="3"/>
  <c r="AL200" i="3"/>
  <c r="AL201" i="3"/>
  <c r="AL203" i="3"/>
  <c r="AL210" i="3"/>
  <c r="AL211" i="3"/>
  <c r="AL212" i="3"/>
  <c r="AL213" i="3"/>
  <c r="AL215" i="3"/>
  <c r="AL222" i="3"/>
  <c r="AL223" i="3"/>
  <c r="AL224" i="3"/>
  <c r="AL225" i="3"/>
  <c r="AL227" i="3"/>
  <c r="AL234" i="3"/>
  <c r="AL235" i="3"/>
  <c r="AL236" i="3"/>
  <c r="AL237" i="3"/>
  <c r="AL239" i="3"/>
  <c r="AL246" i="3"/>
  <c r="AL247" i="3"/>
  <c r="AL248" i="3"/>
  <c r="AL249" i="3"/>
  <c r="AL251" i="3"/>
  <c r="AL258" i="3"/>
  <c r="AL259" i="3"/>
  <c r="AL260" i="3"/>
  <c r="AL261" i="3"/>
  <c r="AL263" i="3"/>
  <c r="AL270" i="3"/>
  <c r="AL271" i="3"/>
  <c r="AL272" i="3"/>
  <c r="AL273" i="3"/>
  <c r="AL275" i="3"/>
  <c r="AL282" i="3"/>
  <c r="AL283" i="3"/>
  <c r="AL284" i="3"/>
  <c r="AL285" i="3"/>
  <c r="AL287" i="3"/>
  <c r="AL294" i="3"/>
  <c r="AL295" i="3"/>
  <c r="AL296" i="3"/>
  <c r="AL297" i="3"/>
  <c r="AL299" i="3"/>
  <c r="AL306" i="3"/>
  <c r="AL307" i="3"/>
  <c r="AL308" i="3"/>
  <c r="AL309" i="3"/>
  <c r="AL311" i="3"/>
  <c r="AL320" i="3"/>
  <c r="AL321" i="3"/>
  <c r="AL342" i="3"/>
  <c r="AL345" i="3"/>
  <c r="AL346" i="3"/>
  <c r="AL349" i="3"/>
  <c r="AL354" i="3"/>
  <c r="AL355" i="3"/>
  <c r="AH7" i="5"/>
  <c r="AH9" i="5"/>
  <c r="AH10" i="5"/>
  <c r="AH11" i="5"/>
  <c r="AH8" i="5"/>
  <c r="AH13" i="5"/>
  <c r="AH14" i="5"/>
  <c r="AH15" i="5"/>
  <c r="AH12" i="5"/>
  <c r="AH17" i="5"/>
  <c r="AH18" i="5"/>
  <c r="AH19" i="5"/>
  <c r="AH20" i="5"/>
  <c r="AH21" i="5"/>
  <c r="AH22" i="5"/>
  <c r="AH23" i="5"/>
  <c r="AH16" i="5"/>
  <c r="AH25" i="5"/>
  <c r="AH26" i="5"/>
  <c r="AH27" i="5"/>
  <c r="AH28" i="5"/>
  <c r="AH29" i="5"/>
  <c r="AH30" i="5"/>
  <c r="AH31" i="5"/>
  <c r="AH24" i="5"/>
  <c r="AH33" i="5"/>
  <c r="AH34" i="5"/>
  <c r="AH35" i="5"/>
  <c r="AH32" i="5"/>
  <c r="AH6" i="5"/>
  <c r="AG5" i="2"/>
  <c r="AG19" i="2"/>
  <c r="AH37" i="5"/>
  <c r="AH36" i="5"/>
  <c r="AG17" i="2"/>
  <c r="AG20" i="2"/>
  <c r="AG18" i="2"/>
  <c r="AM47" i="3"/>
  <c r="AM54" i="3"/>
  <c r="AM55" i="3"/>
  <c r="AM56" i="3"/>
  <c r="AM66" i="3"/>
  <c r="AM67" i="3"/>
  <c r="AM68" i="3"/>
  <c r="AM78" i="3"/>
  <c r="AM79" i="3"/>
  <c r="AM80" i="3"/>
  <c r="AM90" i="3"/>
  <c r="AM91" i="3"/>
  <c r="AM92" i="3"/>
  <c r="AM57" i="3"/>
  <c r="AM59" i="3"/>
  <c r="AM69" i="3"/>
  <c r="AM71" i="3"/>
  <c r="AM81" i="3"/>
  <c r="AM83" i="3"/>
  <c r="AM93" i="3"/>
  <c r="AM95" i="3"/>
  <c r="AM102" i="3"/>
  <c r="AM103" i="3"/>
  <c r="AM104" i="3"/>
  <c r="AM105" i="3"/>
  <c r="AM107" i="3"/>
  <c r="AM114" i="3"/>
  <c r="AM115" i="3"/>
  <c r="AM116" i="3"/>
  <c r="AM117" i="3"/>
  <c r="AM119" i="3"/>
  <c r="AM126" i="3"/>
  <c r="AM127" i="3"/>
  <c r="AM128" i="3"/>
  <c r="AM129" i="3"/>
  <c r="AM131" i="3"/>
  <c r="AM138" i="3"/>
  <c r="AM139" i="3"/>
  <c r="AM140" i="3"/>
  <c r="AM141" i="3"/>
  <c r="AM143" i="3"/>
  <c r="AM150" i="3"/>
  <c r="AM151" i="3"/>
  <c r="AM152" i="3"/>
  <c r="AM153" i="3"/>
  <c r="AM155" i="3"/>
  <c r="AM162" i="3"/>
  <c r="AM163" i="3"/>
  <c r="AM164" i="3"/>
  <c r="AM165" i="3"/>
  <c r="AM167" i="3"/>
  <c r="AM174" i="3"/>
  <c r="AM175" i="3"/>
  <c r="AM176" i="3"/>
  <c r="AM177" i="3"/>
  <c r="AM179" i="3"/>
  <c r="AM186" i="3"/>
  <c r="AM187" i="3"/>
  <c r="AM188" i="3"/>
  <c r="AM189" i="3"/>
  <c r="AM191" i="3"/>
  <c r="AM198" i="3"/>
  <c r="AM199" i="3"/>
  <c r="AM200" i="3"/>
  <c r="AM201" i="3"/>
  <c r="AM203" i="3"/>
  <c r="AM210" i="3"/>
  <c r="AM211" i="3"/>
  <c r="AM212" i="3"/>
  <c r="AM213" i="3"/>
  <c r="AM215" i="3"/>
  <c r="AM222" i="3"/>
  <c r="AM223" i="3"/>
  <c r="AM224" i="3"/>
  <c r="AM225" i="3"/>
  <c r="AM227" i="3"/>
  <c r="AM234" i="3"/>
  <c r="AM235" i="3"/>
  <c r="AM236" i="3"/>
  <c r="AM237" i="3"/>
  <c r="AM239" i="3"/>
  <c r="AM246" i="3"/>
  <c r="AM247" i="3"/>
  <c r="AM248" i="3"/>
  <c r="AM249" i="3"/>
  <c r="AM251" i="3"/>
  <c r="AM258" i="3"/>
  <c r="AM259" i="3"/>
  <c r="AM260" i="3"/>
  <c r="AM261" i="3"/>
  <c r="AM263" i="3"/>
  <c r="AM270" i="3"/>
  <c r="AM271" i="3"/>
  <c r="AM272" i="3"/>
  <c r="AM273" i="3"/>
  <c r="AM275" i="3"/>
  <c r="AM282" i="3"/>
  <c r="AM283" i="3"/>
  <c r="AM284" i="3"/>
  <c r="AM285" i="3"/>
  <c r="AM287" i="3"/>
  <c r="AM294" i="3"/>
  <c r="AM295" i="3"/>
  <c r="AM296" i="3"/>
  <c r="AM297" i="3"/>
  <c r="AM299" i="3"/>
  <c r="AM306" i="3"/>
  <c r="AM307" i="3"/>
  <c r="AM308" i="3"/>
  <c r="AM309" i="3"/>
  <c r="AM311" i="3"/>
  <c r="AM320" i="3"/>
  <c r="AM321" i="3"/>
  <c r="AM334" i="3"/>
  <c r="AM342" i="3"/>
  <c r="AM345" i="3"/>
  <c r="AM346" i="3"/>
  <c r="AM349" i="3"/>
  <c r="AM354" i="3"/>
  <c r="AM355" i="3"/>
  <c r="AI7" i="5"/>
  <c r="AI9" i="5"/>
  <c r="AI10" i="5"/>
  <c r="AI11" i="5"/>
  <c r="AI8" i="5"/>
  <c r="AI13" i="5"/>
  <c r="AI14" i="5"/>
  <c r="AI15" i="5"/>
  <c r="AI12" i="5"/>
  <c r="AI17" i="5"/>
  <c r="AI18" i="5"/>
  <c r="AI19" i="5"/>
  <c r="AI20" i="5"/>
  <c r="AI21" i="5"/>
  <c r="AI22" i="5"/>
  <c r="AI23" i="5"/>
  <c r="AI16" i="5"/>
  <c r="AI25" i="5"/>
  <c r="AI26" i="5"/>
  <c r="AI27" i="5"/>
  <c r="AI28" i="5"/>
  <c r="AI29" i="5"/>
  <c r="AI30" i="5"/>
  <c r="AI31" i="5"/>
  <c r="AI24" i="5"/>
  <c r="AI33" i="5"/>
  <c r="AI34" i="5"/>
  <c r="AI35" i="5"/>
  <c r="AI32" i="5"/>
  <c r="AI6" i="5"/>
  <c r="AH5" i="2"/>
  <c r="AH19" i="2"/>
  <c r="AI37" i="5"/>
  <c r="AI36" i="5"/>
  <c r="AH17" i="2"/>
  <c r="AH20" i="2"/>
  <c r="AH18" i="2"/>
  <c r="F6" i="6"/>
  <c r="E22" i="2"/>
  <c r="I382" i="3"/>
  <c r="I383" i="3"/>
  <c r="I384" i="3"/>
  <c r="I385" i="3"/>
  <c r="I386" i="3"/>
  <c r="K386" i="3"/>
  <c r="H417" i="3"/>
  <c r="H426" i="3"/>
  <c r="H430" i="3"/>
  <c r="F7" i="6"/>
  <c r="E23" i="2"/>
  <c r="F8" i="6" a="1"/>
  <c r="F8" i="6"/>
  <c r="E24" i="2"/>
  <c r="E21" i="2"/>
  <c r="G6" i="6"/>
  <c r="F22" i="2"/>
  <c r="I390" i="3"/>
  <c r="I391" i="3"/>
  <c r="I392" i="3"/>
  <c r="I393" i="3"/>
  <c r="I394" i="3"/>
  <c r="K394" i="3"/>
  <c r="I417" i="3"/>
  <c r="I430" i="3"/>
  <c r="G7" i="6"/>
  <c r="F23" i="2"/>
  <c r="G8" i="6"/>
  <c r="F24" i="2"/>
  <c r="F21" i="2"/>
  <c r="H6" i="6"/>
  <c r="G22" i="2"/>
  <c r="H7" i="6"/>
  <c r="G23" i="2"/>
  <c r="H8" i="6"/>
  <c r="G24" i="2"/>
  <c r="G21" i="2"/>
  <c r="I6" i="6"/>
  <c r="H22" i="2"/>
  <c r="I406" i="3"/>
  <c r="I407" i="3"/>
  <c r="I408" i="3"/>
  <c r="I409" i="3"/>
  <c r="I410" i="3"/>
  <c r="K410" i="3"/>
  <c r="K417" i="3"/>
  <c r="K430" i="3"/>
  <c r="I7" i="6"/>
  <c r="H23" i="2"/>
  <c r="I8" i="6"/>
  <c r="H24" i="2"/>
  <c r="H21" i="2"/>
  <c r="J6" i="6"/>
  <c r="I22" i="2"/>
  <c r="L430" i="3"/>
  <c r="J7" i="6"/>
  <c r="I23" i="2"/>
  <c r="J8" i="6"/>
  <c r="I24" i="2"/>
  <c r="I21" i="2"/>
  <c r="K6" i="6"/>
  <c r="J22" i="2"/>
  <c r="M430" i="3"/>
  <c r="K7" i="6"/>
  <c r="J23" i="2"/>
  <c r="K8" i="6"/>
  <c r="J24" i="2"/>
  <c r="J21" i="2"/>
  <c r="L6" i="6"/>
  <c r="K22" i="2"/>
  <c r="N430" i="3"/>
  <c r="L7" i="6"/>
  <c r="K23" i="2"/>
  <c r="L8" i="6"/>
  <c r="K24" i="2"/>
  <c r="K21" i="2"/>
  <c r="M6" i="6"/>
  <c r="L22" i="2"/>
  <c r="O430" i="3"/>
  <c r="M7" i="6"/>
  <c r="L23" i="2"/>
  <c r="M8" i="6"/>
  <c r="L24" i="2"/>
  <c r="L21" i="2"/>
  <c r="N6" i="6"/>
  <c r="M22" i="2"/>
  <c r="P430" i="3"/>
  <c r="N7" i="6"/>
  <c r="M23" i="2"/>
  <c r="N8" i="6"/>
  <c r="M24" i="2"/>
  <c r="M21" i="2"/>
  <c r="O6" i="6"/>
  <c r="N22" i="2"/>
  <c r="Q430" i="3"/>
  <c r="O7" i="6"/>
  <c r="N23" i="2"/>
  <c r="O8" i="6"/>
  <c r="N24" i="2"/>
  <c r="N21" i="2"/>
  <c r="P6" i="6"/>
  <c r="O22" i="2"/>
  <c r="R430" i="3"/>
  <c r="P7" i="6"/>
  <c r="O23" i="2"/>
  <c r="P8" i="6"/>
  <c r="O24" i="2"/>
  <c r="O21" i="2"/>
  <c r="Q6" i="6"/>
  <c r="P22" i="2"/>
  <c r="S430" i="3"/>
  <c r="Q7" i="6"/>
  <c r="P23" i="2"/>
  <c r="Q8" i="6"/>
  <c r="P24" i="2"/>
  <c r="P21" i="2"/>
  <c r="R6" i="6"/>
  <c r="Q22" i="2"/>
  <c r="T430" i="3"/>
  <c r="R7" i="6"/>
  <c r="Q23" i="2"/>
  <c r="R8" i="6"/>
  <c r="Q24" i="2"/>
  <c r="Q21" i="2"/>
  <c r="S6" i="6"/>
  <c r="R22" i="2"/>
  <c r="U430" i="3"/>
  <c r="S7" i="6"/>
  <c r="R23" i="2"/>
  <c r="S8" i="6"/>
  <c r="R24" i="2"/>
  <c r="R21" i="2"/>
  <c r="T6" i="6"/>
  <c r="S22" i="2"/>
  <c r="V430" i="3"/>
  <c r="T7" i="6"/>
  <c r="S23" i="2"/>
  <c r="T8" i="6"/>
  <c r="S24" i="2"/>
  <c r="S21" i="2"/>
  <c r="U6" i="6"/>
  <c r="T22" i="2"/>
  <c r="W430" i="3"/>
  <c r="U7" i="6"/>
  <c r="T23" i="2"/>
  <c r="U8" i="6"/>
  <c r="T24" i="2"/>
  <c r="T21" i="2"/>
  <c r="V6" i="6"/>
  <c r="U22" i="2"/>
  <c r="X430" i="3"/>
  <c r="V7" i="6"/>
  <c r="U23" i="2"/>
  <c r="V8" i="6"/>
  <c r="U24" i="2"/>
  <c r="U21" i="2"/>
  <c r="W6" i="6"/>
  <c r="V22" i="2"/>
  <c r="Y430" i="3"/>
  <c r="W7" i="6"/>
  <c r="V23" i="2"/>
  <c r="W8" i="6"/>
  <c r="V24" i="2"/>
  <c r="V21" i="2"/>
  <c r="X6" i="6"/>
  <c r="W22" i="2"/>
  <c r="Z430" i="3"/>
  <c r="X7" i="6"/>
  <c r="W23" i="2"/>
  <c r="X8" i="6"/>
  <c r="W24" i="2"/>
  <c r="W21" i="2"/>
  <c r="Y6" i="6"/>
  <c r="X22" i="2"/>
  <c r="AA430" i="3"/>
  <c r="Y7" i="6"/>
  <c r="X23" i="2"/>
  <c r="Y8" i="6"/>
  <c r="X24" i="2"/>
  <c r="X21" i="2"/>
  <c r="Z6" i="6"/>
  <c r="Y22" i="2"/>
  <c r="AB430" i="3"/>
  <c r="Z7" i="6"/>
  <c r="Y23" i="2"/>
  <c r="Z8" i="6"/>
  <c r="Y24" i="2"/>
  <c r="Y21" i="2"/>
  <c r="AA6" i="6"/>
  <c r="Z22" i="2"/>
  <c r="AC430" i="3"/>
  <c r="AA7" i="6"/>
  <c r="Z23" i="2"/>
  <c r="AA8" i="6"/>
  <c r="Z24" i="2"/>
  <c r="Z21" i="2"/>
  <c r="AB6" i="6"/>
  <c r="AA22" i="2"/>
  <c r="AD430" i="3"/>
  <c r="AB7" i="6"/>
  <c r="AA23" i="2"/>
  <c r="AB8" i="6"/>
  <c r="AA24" i="2"/>
  <c r="AA21" i="2"/>
  <c r="AC6" i="6"/>
  <c r="AB22" i="2"/>
  <c r="AE430" i="3"/>
  <c r="AC7" i="6"/>
  <c r="AB23" i="2"/>
  <c r="AC8" i="6"/>
  <c r="AB24" i="2"/>
  <c r="AB21" i="2"/>
  <c r="AD6" i="6"/>
  <c r="AC22" i="2"/>
  <c r="AF430" i="3"/>
  <c r="AD7" i="6"/>
  <c r="AC23" i="2"/>
  <c r="AD8" i="6"/>
  <c r="AC24" i="2"/>
  <c r="AC21" i="2"/>
  <c r="AE6" i="6"/>
  <c r="AD22" i="2"/>
  <c r="AG430" i="3"/>
  <c r="AE7" i="6"/>
  <c r="AD23" i="2"/>
  <c r="AE8" i="6"/>
  <c r="AD24" i="2"/>
  <c r="AD21" i="2"/>
  <c r="AF6" i="6"/>
  <c r="AE22" i="2"/>
  <c r="AH430" i="3"/>
  <c r="AF7" i="6"/>
  <c r="AE23" i="2"/>
  <c r="AF8" i="6"/>
  <c r="AE24" i="2"/>
  <c r="AE21" i="2"/>
  <c r="AG6" i="6"/>
  <c r="AF22" i="2"/>
  <c r="AI430" i="3"/>
  <c r="AG7" i="6"/>
  <c r="AF23" i="2"/>
  <c r="AG8" i="6"/>
  <c r="AF24" i="2"/>
  <c r="AF21" i="2"/>
  <c r="AH6" i="6"/>
  <c r="AG22" i="2"/>
  <c r="AJ430" i="3"/>
  <c r="AH7" i="6"/>
  <c r="AG23" i="2"/>
  <c r="AH8" i="6"/>
  <c r="AG24" i="2"/>
  <c r="AG21" i="2"/>
  <c r="AI6" i="6"/>
  <c r="AH22" i="2"/>
  <c r="AK430" i="3"/>
  <c r="AI7" i="6"/>
  <c r="AH23" i="2"/>
  <c r="AI8" i="6"/>
  <c r="AH24" i="2"/>
  <c r="AH21" i="2"/>
  <c r="C21" i="2"/>
  <c r="C26" i="2"/>
  <c r="E7" i="2"/>
  <c r="E8" i="2"/>
  <c r="E6" i="2"/>
  <c r="F7" i="2"/>
  <c r="F8" i="2"/>
  <c r="F6" i="2"/>
  <c r="G7" i="2"/>
  <c r="G8" i="2"/>
  <c r="G6" i="2"/>
  <c r="H7" i="2"/>
  <c r="H8" i="2"/>
  <c r="H6" i="2"/>
  <c r="I7" i="2"/>
  <c r="I8" i="2"/>
  <c r="I6" i="2"/>
  <c r="J7" i="2"/>
  <c r="J8" i="2"/>
  <c r="J6" i="2"/>
  <c r="K7" i="2"/>
  <c r="K8" i="2"/>
  <c r="K6" i="2"/>
  <c r="L7" i="2"/>
  <c r="L8" i="2"/>
  <c r="L6" i="2"/>
  <c r="M7" i="2"/>
  <c r="M8" i="2"/>
  <c r="M6" i="2"/>
  <c r="N7" i="2"/>
  <c r="N8" i="2"/>
  <c r="N6" i="2"/>
  <c r="O7" i="2"/>
  <c r="O8" i="2"/>
  <c r="O6" i="2"/>
  <c r="P7" i="2"/>
  <c r="P8" i="2"/>
  <c r="P6" i="2"/>
  <c r="Q7" i="2"/>
  <c r="Q8" i="2"/>
  <c r="Q6" i="2"/>
  <c r="R7" i="2"/>
  <c r="R8" i="2"/>
  <c r="R6" i="2"/>
  <c r="S7" i="2"/>
  <c r="S8" i="2"/>
  <c r="S6" i="2"/>
  <c r="T7" i="2"/>
  <c r="T8" i="2"/>
  <c r="T6" i="2"/>
  <c r="U7" i="2"/>
  <c r="U8" i="2"/>
  <c r="U6" i="2"/>
  <c r="V7" i="2"/>
  <c r="V8" i="2"/>
  <c r="V6" i="2"/>
  <c r="W7" i="2"/>
  <c r="W8" i="2"/>
  <c r="W6" i="2"/>
  <c r="X7" i="2"/>
  <c r="X8" i="2"/>
  <c r="X6" i="2"/>
  <c r="Y7" i="2"/>
  <c r="Y8" i="2"/>
  <c r="Y6" i="2"/>
  <c r="Z7" i="2"/>
  <c r="Z8" i="2"/>
  <c r="Z6" i="2"/>
  <c r="AA7" i="2"/>
  <c r="AA8" i="2"/>
  <c r="AA6" i="2"/>
  <c r="AB7" i="2"/>
  <c r="AB8" i="2"/>
  <c r="AB6" i="2"/>
  <c r="AC7" i="2"/>
  <c r="AC8" i="2"/>
  <c r="AC6" i="2"/>
  <c r="AD7" i="2"/>
  <c r="AD8" i="2"/>
  <c r="AD6" i="2"/>
  <c r="AE7" i="2"/>
  <c r="AE8" i="2"/>
  <c r="AE6" i="2"/>
  <c r="AF7" i="2"/>
  <c r="AF8" i="2"/>
  <c r="AF6" i="2"/>
  <c r="AG7" i="2"/>
  <c r="AG8" i="2"/>
  <c r="AG6" i="2"/>
  <c r="AH7" i="2"/>
  <c r="AH8" i="2"/>
  <c r="AH6" i="2"/>
  <c r="C6" i="2"/>
  <c r="E10" i="2"/>
  <c r="E11" i="2"/>
  <c r="E12" i="2"/>
  <c r="E9" i="2"/>
  <c r="F10" i="2"/>
  <c r="F11" i="2"/>
  <c r="F12" i="2"/>
  <c r="F9" i="2"/>
  <c r="G10" i="2"/>
  <c r="G11" i="2"/>
  <c r="G12" i="2"/>
  <c r="G9" i="2"/>
  <c r="H10" i="2"/>
  <c r="H11" i="2"/>
  <c r="H12" i="2"/>
  <c r="H9" i="2"/>
  <c r="I10" i="2"/>
  <c r="I11" i="2"/>
  <c r="I12" i="2"/>
  <c r="I9" i="2"/>
  <c r="J10" i="2"/>
  <c r="J11" i="2"/>
  <c r="J12" i="2"/>
  <c r="J9" i="2"/>
  <c r="K10" i="2"/>
  <c r="K11" i="2"/>
  <c r="K12" i="2"/>
  <c r="K9" i="2"/>
  <c r="L10" i="2"/>
  <c r="L11" i="2"/>
  <c r="L12" i="2"/>
  <c r="L9" i="2"/>
  <c r="M10" i="2"/>
  <c r="M11" i="2"/>
  <c r="M12" i="2"/>
  <c r="M9" i="2"/>
  <c r="N10" i="2"/>
  <c r="N11" i="2"/>
  <c r="N12" i="2"/>
  <c r="N9" i="2"/>
  <c r="O10" i="2"/>
  <c r="O11" i="2"/>
  <c r="O12" i="2"/>
  <c r="O9" i="2"/>
  <c r="P10" i="2"/>
  <c r="P11" i="2"/>
  <c r="P12" i="2"/>
  <c r="P9" i="2"/>
  <c r="Q10" i="2"/>
  <c r="Q11" i="2"/>
  <c r="Q12" i="2"/>
  <c r="Q9" i="2"/>
  <c r="R10" i="2"/>
  <c r="R11" i="2"/>
  <c r="R12" i="2"/>
  <c r="R9" i="2"/>
  <c r="S10" i="2"/>
  <c r="S11" i="2"/>
  <c r="S12" i="2"/>
  <c r="S9" i="2"/>
  <c r="T10" i="2"/>
  <c r="T11" i="2"/>
  <c r="T12" i="2"/>
  <c r="T9" i="2"/>
  <c r="U10" i="2"/>
  <c r="U11" i="2"/>
  <c r="U12" i="2"/>
  <c r="U9" i="2"/>
  <c r="V10" i="2"/>
  <c r="V11" i="2"/>
  <c r="V12" i="2"/>
  <c r="V9" i="2"/>
  <c r="W10" i="2"/>
  <c r="W11" i="2"/>
  <c r="W12" i="2"/>
  <c r="W9" i="2"/>
  <c r="X10" i="2"/>
  <c r="X11" i="2"/>
  <c r="X12" i="2"/>
  <c r="X9" i="2"/>
  <c r="Y10" i="2"/>
  <c r="Y11" i="2"/>
  <c r="Y12" i="2"/>
  <c r="Y9" i="2"/>
  <c r="Z10" i="2"/>
  <c r="Z11" i="2"/>
  <c r="Z12" i="2"/>
  <c r="Z9" i="2"/>
  <c r="AA10" i="2"/>
  <c r="AA11" i="2"/>
  <c r="AA12" i="2"/>
  <c r="AA9" i="2"/>
  <c r="AB10" i="2"/>
  <c r="AB11" i="2"/>
  <c r="AB12" i="2"/>
  <c r="AB9" i="2"/>
  <c r="AC10" i="2"/>
  <c r="AC11" i="2"/>
  <c r="AC12" i="2"/>
  <c r="AC9" i="2"/>
  <c r="AD10" i="2"/>
  <c r="AD11" i="2"/>
  <c r="AD12" i="2"/>
  <c r="AD9" i="2"/>
  <c r="AE10" i="2"/>
  <c r="AE11" i="2"/>
  <c r="AE12" i="2"/>
  <c r="AE9" i="2"/>
  <c r="AF10" i="2"/>
  <c r="AF11" i="2"/>
  <c r="AF12" i="2"/>
  <c r="AF9" i="2"/>
  <c r="AG10" i="2"/>
  <c r="AG11" i="2"/>
  <c r="AG12" i="2"/>
  <c r="AG9" i="2"/>
  <c r="AH10" i="2"/>
  <c r="AH11" i="2"/>
  <c r="AH12" i="2"/>
  <c r="AH9" i="2"/>
  <c r="C9" i="2"/>
  <c r="C14" i="2"/>
  <c r="C13" i="2"/>
  <c r="C25" i="2"/>
  <c r="C11" i="2"/>
  <c r="C12" i="2"/>
  <c r="C10" i="2"/>
  <c r="C28" i="9"/>
  <c r="C32" i="9"/>
  <c r="E32" i="9"/>
  <c r="G32" i="9"/>
  <c r="I32" i="9"/>
  <c r="K32" i="9"/>
  <c r="M32" i="9"/>
  <c r="O32" i="9"/>
  <c r="E44" i="9"/>
  <c r="E28" i="9"/>
  <c r="G28" i="9"/>
  <c r="I28" i="9"/>
  <c r="K28" i="9"/>
  <c r="M28" i="9"/>
  <c r="O28" i="9"/>
  <c r="Q28" i="9"/>
  <c r="E43" i="9"/>
  <c r="E23" i="9"/>
  <c r="G23" i="9"/>
  <c r="I23" i="9"/>
  <c r="K23" i="9"/>
  <c r="M23" i="9"/>
  <c r="E42" i="9"/>
  <c r="E22" i="9"/>
  <c r="G22" i="9"/>
  <c r="I22" i="9"/>
  <c r="K22" i="9"/>
  <c r="M22" i="9"/>
  <c r="E41" i="9"/>
  <c r="E21" i="9"/>
  <c r="G21" i="9"/>
  <c r="I21" i="9"/>
  <c r="K21" i="9"/>
  <c r="M21" i="9"/>
  <c r="E40" i="9"/>
  <c r="E19" i="9"/>
  <c r="G19" i="9"/>
  <c r="I19" i="9"/>
  <c r="K19" i="9"/>
  <c r="K20" i="9"/>
  <c r="M20" i="9"/>
  <c r="E39" i="9"/>
  <c r="M19" i="9"/>
  <c r="E38" i="9"/>
  <c r="C62" i="8"/>
  <c r="I62" i="8"/>
  <c r="K62" i="8"/>
  <c r="C63" i="8"/>
  <c r="I63" i="8"/>
  <c r="K63" i="8"/>
  <c r="C64" i="8"/>
  <c r="I64" i="8"/>
  <c r="K64" i="8"/>
  <c r="I65" i="8"/>
  <c r="K65" i="8"/>
  <c r="C61" i="8"/>
  <c r="I61" i="8"/>
  <c r="K61" i="8"/>
  <c r="E32" i="8"/>
  <c r="G32" i="8"/>
  <c r="I32" i="8"/>
  <c r="K32" i="8"/>
  <c r="M32" i="8"/>
  <c r="O32" i="8"/>
  <c r="E44" i="8"/>
  <c r="C28" i="8"/>
  <c r="E28" i="8"/>
  <c r="G28" i="8"/>
  <c r="I28" i="8"/>
  <c r="K28" i="8"/>
  <c r="M28" i="8"/>
  <c r="O28" i="8"/>
  <c r="Q28" i="8"/>
  <c r="E43" i="8"/>
  <c r="G19" i="8"/>
  <c r="I19" i="8"/>
  <c r="K19" i="8"/>
  <c r="K20" i="8"/>
  <c r="M20" i="8"/>
  <c r="E39" i="8"/>
  <c r="G21" i="8"/>
  <c r="I21" i="8"/>
  <c r="K21" i="8"/>
  <c r="M21" i="8"/>
  <c r="E40" i="8"/>
  <c r="G22" i="8"/>
  <c r="I22" i="8"/>
  <c r="K22" i="8"/>
  <c r="M22" i="8"/>
  <c r="E41" i="8"/>
  <c r="G23" i="8"/>
  <c r="I23" i="8"/>
  <c r="K23" i="8"/>
  <c r="M23" i="8"/>
  <c r="E42" i="8"/>
  <c r="M19" i="8"/>
  <c r="E38" i="8"/>
  <c r="C461" i="3"/>
  <c r="E461" i="3"/>
  <c r="G461" i="3"/>
  <c r="I461" i="3"/>
  <c r="I464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479" i="3"/>
  <c r="E479" i="3" a="1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D479" i="3" a="1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I474" i="3"/>
  <c r="I470" i="3"/>
  <c r="I471" i="3"/>
  <c r="I472" i="3"/>
  <c r="I473" i="3"/>
  <c r="I469" i="3"/>
  <c r="G470" i="3"/>
  <c r="G471" i="3"/>
  <c r="G472" i="3"/>
  <c r="G473" i="3"/>
  <c r="G469" i="3"/>
  <c r="E470" i="3"/>
  <c r="E471" i="3"/>
  <c r="E472" i="3"/>
  <c r="E473" i="3"/>
  <c r="E469" i="3"/>
  <c r="I460" i="3"/>
  <c r="I462" i="3"/>
  <c r="I463" i="3"/>
  <c r="I459" i="3"/>
  <c r="G460" i="3"/>
  <c r="G462" i="3"/>
  <c r="G463" i="3"/>
  <c r="G459" i="3"/>
  <c r="E460" i="3"/>
  <c r="E462" i="3"/>
  <c r="E463" i="3"/>
  <c r="E459" i="3"/>
  <c r="C463" i="3"/>
  <c r="C462" i="3"/>
  <c r="C460" i="3"/>
  <c r="C459" i="3"/>
  <c r="C389" i="3"/>
  <c r="E389" i="3"/>
  <c r="F389" i="3"/>
  <c r="G389" i="3"/>
  <c r="I389" i="3"/>
  <c r="C390" i="3"/>
  <c r="D390" i="3"/>
  <c r="C391" i="3"/>
  <c r="C392" i="3"/>
  <c r="C393" i="3"/>
  <c r="C397" i="3"/>
  <c r="E397" i="3"/>
  <c r="F397" i="3"/>
  <c r="G397" i="3"/>
  <c r="I397" i="3"/>
  <c r="C398" i="3"/>
  <c r="D398" i="3"/>
  <c r="C399" i="3"/>
  <c r="C400" i="3"/>
  <c r="C401" i="3"/>
  <c r="J426" i="3"/>
  <c r="C405" i="3"/>
  <c r="E405" i="3"/>
  <c r="F405" i="3"/>
  <c r="G405" i="3"/>
  <c r="I405" i="3"/>
  <c r="C406" i="3"/>
  <c r="D406" i="3"/>
  <c r="C407" i="3"/>
  <c r="C408" i="3"/>
  <c r="C409" i="3"/>
  <c r="K426" i="3"/>
  <c r="L426" i="3"/>
  <c r="M426" i="3"/>
  <c r="N426" i="3"/>
  <c r="O426" i="3"/>
  <c r="P426" i="3"/>
  <c r="Q426" i="3"/>
  <c r="R426" i="3"/>
  <c r="S426" i="3"/>
  <c r="T426" i="3"/>
  <c r="U426" i="3"/>
  <c r="V426" i="3"/>
  <c r="W426" i="3"/>
  <c r="X426" i="3"/>
  <c r="Y426" i="3"/>
  <c r="Z426" i="3"/>
  <c r="AA426" i="3"/>
  <c r="AB426" i="3"/>
  <c r="AC426" i="3"/>
  <c r="AD426" i="3"/>
  <c r="AE426" i="3"/>
  <c r="AF426" i="3"/>
  <c r="AG426" i="3"/>
  <c r="AH426" i="3"/>
  <c r="AI426" i="3"/>
  <c r="AJ426" i="3"/>
  <c r="AK426" i="3"/>
  <c r="C381" i="3"/>
  <c r="D381" i="3"/>
  <c r="E381" i="3"/>
  <c r="F381" i="3"/>
  <c r="G381" i="3"/>
  <c r="I381" i="3"/>
  <c r="C382" i="3"/>
  <c r="C383" i="3"/>
  <c r="C384" i="3"/>
  <c r="C385" i="3"/>
  <c r="J386" i="3"/>
  <c r="F430" i="3"/>
  <c r="F426" i="3"/>
  <c r="F417" i="3"/>
  <c r="I425" i="3"/>
  <c r="H425" i="3"/>
  <c r="I424" i="3"/>
  <c r="H424" i="3"/>
  <c r="I423" i="3"/>
  <c r="H423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AA414" i="3"/>
  <c r="AB414" i="3"/>
  <c r="AC414" i="3"/>
  <c r="AD414" i="3"/>
  <c r="AE414" i="3"/>
  <c r="AF414" i="3"/>
  <c r="AG414" i="3"/>
  <c r="AH414" i="3"/>
  <c r="AI414" i="3"/>
  <c r="AJ414" i="3"/>
  <c r="AK414" i="3"/>
  <c r="I415" i="3"/>
  <c r="J415" i="3"/>
  <c r="K415" i="3"/>
  <c r="N332" i="3"/>
  <c r="L415" i="3"/>
  <c r="O332" i="3"/>
  <c r="M415" i="3"/>
  <c r="P332" i="3"/>
  <c r="N415" i="3"/>
  <c r="Q332" i="3"/>
  <c r="O415" i="3"/>
  <c r="R332" i="3"/>
  <c r="P415" i="3"/>
  <c r="S332" i="3"/>
  <c r="Q415" i="3"/>
  <c r="T332" i="3"/>
  <c r="R415" i="3"/>
  <c r="U332" i="3"/>
  <c r="S415" i="3"/>
  <c r="V332" i="3"/>
  <c r="T415" i="3"/>
  <c r="W332" i="3"/>
  <c r="U415" i="3"/>
  <c r="X332" i="3"/>
  <c r="V415" i="3"/>
  <c r="Y332" i="3"/>
  <c r="W415" i="3"/>
  <c r="Z332" i="3"/>
  <c r="X415" i="3"/>
  <c r="AA332" i="3"/>
  <c r="Y415" i="3"/>
  <c r="AB332" i="3"/>
  <c r="Z415" i="3"/>
  <c r="AC332" i="3"/>
  <c r="AA415" i="3"/>
  <c r="AD332" i="3"/>
  <c r="AB415" i="3"/>
  <c r="AE332" i="3"/>
  <c r="AC415" i="3"/>
  <c r="AF332" i="3"/>
  <c r="AD415" i="3"/>
  <c r="AG332" i="3"/>
  <c r="AE415" i="3"/>
  <c r="AH332" i="3"/>
  <c r="AF415" i="3"/>
  <c r="AI332" i="3"/>
  <c r="AG415" i="3"/>
  <c r="AJ332" i="3"/>
  <c r="AH415" i="3"/>
  <c r="AK332" i="3"/>
  <c r="AI415" i="3"/>
  <c r="AL332" i="3"/>
  <c r="AJ415" i="3"/>
  <c r="AM332" i="3"/>
  <c r="AK415" i="3"/>
  <c r="K335" i="3"/>
  <c r="I416" i="3"/>
  <c r="L335" i="3"/>
  <c r="J416" i="3"/>
  <c r="M335" i="3"/>
  <c r="K416" i="3"/>
  <c r="H416" i="3"/>
  <c r="H415" i="3"/>
  <c r="H414" i="3"/>
  <c r="E365" i="3"/>
  <c r="F365" i="3"/>
  <c r="G365" i="3"/>
  <c r="K336" i="3"/>
  <c r="K348" i="3"/>
  <c r="L336" i="3"/>
  <c r="L337" i="3"/>
  <c r="L348" i="3"/>
  <c r="M336" i="3"/>
  <c r="M337" i="3"/>
  <c r="M348" i="3"/>
  <c r="N336" i="3"/>
  <c r="N348" i="3"/>
  <c r="O336" i="3"/>
  <c r="O348" i="3"/>
  <c r="P336" i="3"/>
  <c r="P348" i="3"/>
  <c r="Q336" i="3"/>
  <c r="Q348" i="3"/>
  <c r="R336" i="3"/>
  <c r="R348" i="3"/>
  <c r="S336" i="3"/>
  <c r="S348" i="3"/>
  <c r="T336" i="3"/>
  <c r="T348" i="3"/>
  <c r="U336" i="3"/>
  <c r="U348" i="3"/>
  <c r="V336" i="3"/>
  <c r="V348" i="3"/>
  <c r="W336" i="3"/>
  <c r="W348" i="3"/>
  <c r="X336" i="3"/>
  <c r="X348" i="3"/>
  <c r="Y336" i="3"/>
  <c r="Y348" i="3"/>
  <c r="Z336" i="3"/>
  <c r="Z348" i="3"/>
  <c r="AA336" i="3"/>
  <c r="AA348" i="3"/>
  <c r="AB336" i="3"/>
  <c r="AB348" i="3"/>
  <c r="AC336" i="3"/>
  <c r="AC348" i="3"/>
  <c r="AD336" i="3"/>
  <c r="AD348" i="3"/>
  <c r="AE336" i="3"/>
  <c r="AE348" i="3"/>
  <c r="AF336" i="3"/>
  <c r="AF348" i="3"/>
  <c r="AG336" i="3"/>
  <c r="AG348" i="3"/>
  <c r="AH336" i="3"/>
  <c r="AH348" i="3"/>
  <c r="AI336" i="3"/>
  <c r="AI348" i="3"/>
  <c r="AJ336" i="3"/>
  <c r="AJ348" i="3"/>
  <c r="AK336" i="3"/>
  <c r="AK348" i="3"/>
  <c r="AL336" i="3"/>
  <c r="AL348" i="3"/>
  <c r="AM336" i="3"/>
  <c r="AM348" i="3"/>
  <c r="J336" i="3"/>
  <c r="H355" i="3"/>
  <c r="H337" i="3"/>
  <c r="D49" i="3"/>
  <c r="D61" i="3"/>
  <c r="D73" i="3"/>
  <c r="D85" i="3"/>
  <c r="D97" i="3"/>
  <c r="D109" i="3"/>
  <c r="D121" i="3"/>
  <c r="D133" i="3"/>
  <c r="D145" i="3"/>
  <c r="D157" i="3"/>
  <c r="D169" i="3"/>
  <c r="D181" i="3"/>
  <c r="D193" i="3"/>
  <c r="D205" i="3"/>
  <c r="D217" i="3"/>
  <c r="D229" i="3"/>
  <c r="D241" i="3"/>
  <c r="D253" i="3"/>
  <c r="D265" i="3"/>
  <c r="D277" i="3"/>
  <c r="D289" i="3"/>
  <c r="D301" i="3"/>
  <c r="D6" i="6"/>
  <c r="D7" i="6"/>
  <c r="D8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D5" i="6"/>
  <c r="C22" i="2"/>
  <c r="C23" i="2"/>
  <c r="C24" i="2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M333" i="3"/>
  <c r="AI333" i="3"/>
  <c r="AE333" i="3"/>
  <c r="AA333" i="3"/>
  <c r="W333" i="3"/>
  <c r="S333" i="3"/>
  <c r="O333" i="3"/>
  <c r="K333" i="3"/>
  <c r="L333" i="3"/>
  <c r="L334" i="3"/>
  <c r="M333" i="3"/>
  <c r="M334" i="3"/>
  <c r="N333" i="3"/>
  <c r="N334" i="3"/>
  <c r="P333" i="3"/>
  <c r="P334" i="3"/>
  <c r="Q333" i="3"/>
  <c r="Q334" i="3"/>
  <c r="R333" i="3"/>
  <c r="R334" i="3"/>
  <c r="T333" i="3"/>
  <c r="T334" i="3"/>
  <c r="U333" i="3"/>
  <c r="U334" i="3"/>
  <c r="V333" i="3"/>
  <c r="V334" i="3"/>
  <c r="X333" i="3"/>
  <c r="X334" i="3"/>
  <c r="Y333" i="3"/>
  <c r="Y334" i="3"/>
  <c r="Z333" i="3"/>
  <c r="Z334" i="3"/>
  <c r="AB333" i="3"/>
  <c r="AB334" i="3"/>
  <c r="AC333" i="3"/>
  <c r="AC334" i="3"/>
  <c r="AD333" i="3"/>
  <c r="AD334" i="3"/>
  <c r="AF333" i="3"/>
  <c r="AF334" i="3"/>
  <c r="AG333" i="3"/>
  <c r="AG334" i="3"/>
  <c r="AH333" i="3"/>
  <c r="AH334" i="3"/>
  <c r="AJ333" i="3"/>
  <c r="AJ334" i="3"/>
  <c r="AK333" i="3"/>
  <c r="AK334" i="3"/>
  <c r="AL333" i="3"/>
  <c r="AL334" i="3"/>
  <c r="C20" i="2"/>
  <c r="C19" i="2"/>
  <c r="C7" i="2"/>
  <c r="C8" i="2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D5" i="5"/>
  <c r="D7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C7" i="5"/>
  <c r="B8" i="5"/>
  <c r="C8" i="5"/>
  <c r="C9" i="5"/>
  <c r="C10" i="5"/>
  <c r="C11" i="5"/>
  <c r="B12" i="5"/>
  <c r="C12" i="5"/>
  <c r="C13" i="5"/>
  <c r="C14" i="5"/>
  <c r="C15" i="5"/>
  <c r="B16" i="5"/>
  <c r="C16" i="5"/>
  <c r="C17" i="5"/>
  <c r="C18" i="5"/>
  <c r="C19" i="5"/>
  <c r="C20" i="5"/>
  <c r="C21" i="5"/>
  <c r="C22" i="5"/>
  <c r="C23" i="5"/>
  <c r="B24" i="5"/>
  <c r="C24" i="5"/>
  <c r="C25" i="5"/>
  <c r="C26" i="5"/>
  <c r="C27" i="5"/>
  <c r="C28" i="5"/>
  <c r="C29" i="5"/>
  <c r="C30" i="5"/>
  <c r="C31" i="5"/>
  <c r="B32" i="5"/>
  <c r="C32" i="5"/>
  <c r="C33" i="5"/>
  <c r="C34" i="5"/>
  <c r="C35" i="5"/>
  <c r="B36" i="5"/>
  <c r="C36" i="5"/>
  <c r="C37" i="5"/>
  <c r="B6" i="5"/>
  <c r="C6" i="5"/>
  <c r="D55" i="3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67" i="3"/>
  <c r="D79" i="3"/>
  <c r="D91" i="3"/>
  <c r="D103" i="3"/>
  <c r="D115" i="3"/>
  <c r="D127" i="3"/>
  <c r="D139" i="3"/>
  <c r="D151" i="3"/>
  <c r="D163" i="3"/>
  <c r="D175" i="3"/>
  <c r="D187" i="3"/>
  <c r="D199" i="3"/>
  <c r="D211" i="3"/>
  <c r="D223" i="3"/>
  <c r="D235" i="3"/>
  <c r="D247" i="3"/>
  <c r="D259" i="3"/>
  <c r="D271" i="3"/>
  <c r="D283" i="3"/>
  <c r="D295" i="3"/>
  <c r="D307" i="3"/>
  <c r="D319" i="3"/>
  <c r="D8" i="5"/>
  <c r="D6" i="5"/>
  <c r="H56" i="3" l="1"/>
  <c r="H68" i="3"/>
  <c r="H80" i="3"/>
  <c r="H92" i="3"/>
  <c r="H104" i="3"/>
  <c r="H116" i="3"/>
  <c r="H128" i="3"/>
  <c r="H140" i="3"/>
  <c r="H152" i="3"/>
  <c r="H164" i="3"/>
  <c r="H176" i="3"/>
  <c r="H188" i="3"/>
  <c r="H200" i="3"/>
  <c r="H212" i="3"/>
  <c r="H224" i="3"/>
  <c r="H236" i="3"/>
  <c r="H248" i="3"/>
  <c r="H260" i="3"/>
  <c r="H272" i="3"/>
  <c r="H284" i="3"/>
  <c r="H296" i="3"/>
  <c r="H308" i="3"/>
  <c r="H320" i="3"/>
  <c r="H91" i="3"/>
  <c r="H127" i="3"/>
  <c r="H151" i="3"/>
  <c r="H175" i="3"/>
  <c r="H199" i="3"/>
  <c r="H223" i="3"/>
  <c r="H247" i="3"/>
  <c r="H271" i="3"/>
  <c r="H295" i="3"/>
  <c r="H319" i="3"/>
  <c r="H57" i="3"/>
  <c r="H69" i="3"/>
  <c r="H81" i="3"/>
  <c r="H93" i="3"/>
  <c r="H105" i="3"/>
  <c r="H117" i="3"/>
  <c r="H129" i="3"/>
  <c r="H141" i="3"/>
  <c r="H153" i="3"/>
  <c r="H165" i="3"/>
  <c r="H177" i="3"/>
  <c r="H189" i="3"/>
  <c r="H201" i="3"/>
  <c r="H213" i="3"/>
  <c r="H225" i="3"/>
  <c r="H237" i="3"/>
  <c r="H249" i="3"/>
  <c r="H261" i="3"/>
  <c r="H273" i="3"/>
  <c r="H285" i="3"/>
  <c r="H297" i="3"/>
  <c r="H309" i="3"/>
  <c r="H321" i="3"/>
  <c r="H55" i="3"/>
  <c r="H67" i="3"/>
  <c r="H79" i="3"/>
  <c r="H103" i="3"/>
  <c r="H115" i="3"/>
  <c r="H139" i="3"/>
  <c r="H163" i="3"/>
  <c r="H187" i="3"/>
  <c r="H211" i="3"/>
  <c r="H235" i="3"/>
  <c r="H259" i="3"/>
  <c r="H283" i="3"/>
  <c r="H307" i="3"/>
</calcChain>
</file>

<file path=xl/sharedStrings.xml><?xml version="1.0" encoding="utf-8"?>
<sst xmlns="http://schemas.openxmlformats.org/spreadsheetml/2006/main" count="1168" uniqueCount="371">
  <si>
    <t>Project Title</t>
  </si>
  <si>
    <t>Broadway Second Main Track Project</t>
  </si>
  <si>
    <t>Location</t>
  </si>
  <si>
    <t>Houston, TX</t>
  </si>
  <si>
    <t>Type of Application</t>
  </si>
  <si>
    <t>Applicant Name</t>
  </si>
  <si>
    <t>Port of Houston Authority</t>
  </si>
  <si>
    <t>Type of Applicant</t>
  </si>
  <si>
    <t>Port Authority</t>
  </si>
  <si>
    <t>Date</t>
  </si>
  <si>
    <t>Cost</t>
  </si>
  <si>
    <t>CES</t>
  </si>
  <si>
    <t>Description</t>
  </si>
  <si>
    <t>Earthworks</t>
  </si>
  <si>
    <t>Cost to spread</t>
  </si>
  <si>
    <t>Unit Cost</t>
  </si>
  <si>
    <t>Qty</t>
  </si>
  <si>
    <t>Unit</t>
  </si>
  <si>
    <t>TF</t>
  </si>
  <si>
    <t>Start Date</t>
  </si>
  <si>
    <t>End Date</t>
  </si>
  <si>
    <t>Schedule ►</t>
  </si>
  <si>
    <t>Duration</t>
  </si>
  <si>
    <t>Cost ►</t>
  </si>
  <si>
    <t>1.2.1</t>
  </si>
  <si>
    <t>+Mobilization</t>
  </si>
  <si>
    <t>+Mobilization ►</t>
  </si>
  <si>
    <t>1.1</t>
  </si>
  <si>
    <t>+Contingency</t>
  </si>
  <si>
    <t>+Contingency ►</t>
  </si>
  <si>
    <t>1.7</t>
  </si>
  <si>
    <t>Source</t>
  </si>
  <si>
    <t xml:space="preserve">60% Construction Estimate Completed on 3/3/2014 </t>
  </si>
  <si>
    <t>12" Subballast</t>
  </si>
  <si>
    <t>Unit cost</t>
  </si>
  <si>
    <t>CY</t>
  </si>
  <si>
    <t>Start date</t>
  </si>
  <si>
    <t>End date</t>
  </si>
  <si>
    <t>1.2.2</t>
  </si>
  <si>
    <t>8" Lime Stabilization</t>
  </si>
  <si>
    <t>SY</t>
  </si>
  <si>
    <t>1.2.3</t>
  </si>
  <si>
    <t>Proposed Track (Rail, Ballast, OTM)</t>
  </si>
  <si>
    <t>1.3.1</t>
  </si>
  <si>
    <t>Proposed Track Shift (Rail, Ballast, OTM)</t>
  </si>
  <si>
    <t>1.3.2</t>
  </si>
  <si>
    <t>Proposed #15 Turnout</t>
  </si>
  <si>
    <t>EA</t>
  </si>
  <si>
    <t>1.3.3</t>
  </si>
  <si>
    <t>Crossing Signal at Fennell Street</t>
  </si>
  <si>
    <t>1.4.1</t>
  </si>
  <si>
    <t>Crossing Signal at Medina Street</t>
  </si>
  <si>
    <t>1.4.2</t>
  </si>
  <si>
    <t>Crossing Signal at Frio Street</t>
  </si>
  <si>
    <t>1.4.3</t>
  </si>
  <si>
    <t>Crossing Signal at Manch Street</t>
  </si>
  <si>
    <t>1.4.4</t>
  </si>
  <si>
    <t>Crossing Signal at Plant Road</t>
  </si>
  <si>
    <t>1.4.5</t>
  </si>
  <si>
    <t>Crossing Signal at Cemetary Road</t>
  </si>
  <si>
    <t>1.4.6</t>
  </si>
  <si>
    <t>Signal Work</t>
  </si>
  <si>
    <t>LS</t>
  </si>
  <si>
    <t>1.4.7</t>
  </si>
  <si>
    <t>Extend Pipe Culverts (36" HDPE)</t>
  </si>
  <si>
    <t>LF</t>
  </si>
  <si>
    <t>1.5.1</t>
  </si>
  <si>
    <t>Remove Existing Street Crossing</t>
  </si>
  <si>
    <t>1.5.2</t>
  </si>
  <si>
    <t>Proposed Street Crossing</t>
  </si>
  <si>
    <t>1.5.3</t>
  </si>
  <si>
    <t>Demolish Existing Broadway Bridge</t>
  </si>
  <si>
    <t>1.5.4</t>
  </si>
  <si>
    <t>Proposed Broadway Bridge</t>
  </si>
  <si>
    <t>1.5.5</t>
  </si>
  <si>
    <t>Traffic Control Broadway Bridge</t>
  </si>
  <si>
    <t>1.5.6</t>
  </si>
  <si>
    <t>City of Houston Roadway &amp; Bridge Improvements</t>
  </si>
  <si>
    <t>1.5.7</t>
  </si>
  <si>
    <t>Engineering Design</t>
  </si>
  <si>
    <t>1.6.1</t>
  </si>
  <si>
    <t>Engineering CM</t>
  </si>
  <si>
    <t>MO</t>
  </si>
  <si>
    <t>1.6.2</t>
  </si>
  <si>
    <t>Proposed Second Track Maintenance</t>
  </si>
  <si>
    <t>YR</t>
  </si>
  <si>
    <t>2.1</t>
  </si>
  <si>
    <t>Parameters</t>
  </si>
  <si>
    <t>All costs in 2015 $</t>
  </si>
  <si>
    <t>Cost Element Structure</t>
  </si>
  <si>
    <t>Estimate</t>
  </si>
  <si>
    <t>Sum Rows</t>
  </si>
  <si>
    <t>Short Name</t>
  </si>
  <si>
    <t>1.</t>
  </si>
  <si>
    <t>Capital Expenditures</t>
  </si>
  <si>
    <t>Mobilization</t>
  </si>
  <si>
    <t>1.2</t>
  </si>
  <si>
    <t>Subgrade / Earthworks</t>
  </si>
  <si>
    <t>1.3</t>
  </si>
  <si>
    <t>Track Work</t>
  </si>
  <si>
    <t>1.4</t>
  </si>
  <si>
    <t>Signals</t>
  </si>
  <si>
    <t>Crossing Signal at Fennel Street</t>
  </si>
  <si>
    <t>1.5</t>
  </si>
  <si>
    <t>Miscellaneous</t>
  </si>
  <si>
    <t>Traffic Control Broadway Street</t>
  </si>
  <si>
    <t>City of Houston Roadway and Bridge Improvements</t>
  </si>
  <si>
    <t>1.6</t>
  </si>
  <si>
    <t>Engineering Services</t>
  </si>
  <si>
    <t>Contingency</t>
  </si>
  <si>
    <t>2.</t>
  </si>
  <si>
    <t>Operating and Maintenance Expenditures</t>
  </si>
  <si>
    <t>Maintenance on Second Track</t>
  </si>
  <si>
    <t>CapEx</t>
  </si>
  <si>
    <t>Subballast</t>
  </si>
  <si>
    <t>Lime</t>
  </si>
  <si>
    <t>Prop Track</t>
  </si>
  <si>
    <t>Prop Track Shift</t>
  </si>
  <si>
    <t>Turnout</t>
  </si>
  <si>
    <t>Fennel Signal</t>
  </si>
  <si>
    <t>Medina Signal</t>
  </si>
  <si>
    <t>Frio Signal</t>
  </si>
  <si>
    <t>Manch Signal</t>
  </si>
  <si>
    <t>Plant Signal</t>
  </si>
  <si>
    <t>Cemetary Signal</t>
  </si>
  <si>
    <t>Misc</t>
  </si>
  <si>
    <t>Culverts</t>
  </si>
  <si>
    <t>Remove Crossing</t>
  </si>
  <si>
    <t>Add Crossing</t>
  </si>
  <si>
    <t>Demo Bridge</t>
  </si>
  <si>
    <t>New Bridge</t>
  </si>
  <si>
    <t>Traffic Control</t>
  </si>
  <si>
    <t>Bridge Impr</t>
  </si>
  <si>
    <t>Eng Serv</t>
  </si>
  <si>
    <t>Eng Des</t>
  </si>
  <si>
    <t>Eng CM</t>
  </si>
  <si>
    <t>OpEx</t>
  </si>
  <si>
    <t>Track Maint</t>
  </si>
  <si>
    <t>Cost Parameters</t>
  </si>
  <si>
    <t>30-Year Label</t>
  </si>
  <si>
    <t>Cost Estimate</t>
  </si>
  <si>
    <t>All costs in 2015 $ (undiscounted)</t>
  </si>
  <si>
    <t>Analysis Period</t>
  </si>
  <si>
    <t>Start Year</t>
  </si>
  <si>
    <t>Years</t>
  </si>
  <si>
    <t>Total</t>
  </si>
  <si>
    <t>Summary</t>
  </si>
  <si>
    <t>Discounted at 7%</t>
  </si>
  <si>
    <t>Total Cost</t>
  </si>
  <si>
    <t>Capital Cost</t>
  </si>
  <si>
    <t>Operating and Maintenance Cost</t>
  </si>
  <si>
    <t>Total Benefit</t>
  </si>
  <si>
    <t>Discount Rates</t>
  </si>
  <si>
    <t>Discount Rate 1</t>
  </si>
  <si>
    <t>Discount Rate 2</t>
  </si>
  <si>
    <t>Reduction in Train Delay</t>
  </si>
  <si>
    <t>Reduction in Emissions from Diesel Locomotives</t>
  </si>
  <si>
    <t>Reduction in Emissions from Substitution of Train for Truck Shipments</t>
  </si>
  <si>
    <t>Benefit Estimate</t>
  </si>
  <si>
    <t>All benefits in 2015 $ (undiscounted)</t>
  </si>
  <si>
    <t>Efficient use of current track, Trains/day</t>
  </si>
  <si>
    <t>Current utilization, trains/day</t>
  </si>
  <si>
    <t># trains being delayed, trains/day</t>
  </si>
  <si>
    <t># trains being delayed, trains/year</t>
  </si>
  <si>
    <t>$ cost for hour of delay</t>
  </si>
  <si>
    <t>ASSUMPTIONS</t>
  </si>
  <si>
    <t>Current track maximum is 24 trains per day per year</t>
  </si>
  <si>
    <t>Train is equal to 60 cars</t>
  </si>
  <si>
    <t>50% of cars are loaded</t>
  </si>
  <si>
    <t>Time delay for 3 trains (hrs) =</t>
  </si>
  <si>
    <t>Time delay for 4 trains (hrs) =</t>
  </si>
  <si>
    <t>Time delay for 5 trains (hrs) =</t>
  </si>
  <si>
    <t>Time delay for 6 trains (hrs) =</t>
  </si>
  <si>
    <t>$ cost/hour delay</t>
  </si>
  <si>
    <t>Future track maximum is 40 trains per day per year</t>
  </si>
  <si>
    <t>Future car margin is $450 revenue &amp; $180 expense</t>
  </si>
  <si>
    <t>Current track can efficiently handle 18 trains per day per year</t>
  </si>
  <si>
    <t>Total $ cost for delay</t>
  </si>
  <si>
    <t>Delay, hours/day</t>
  </si>
  <si>
    <t>3.</t>
  </si>
  <si>
    <t>Discounted at 3%</t>
  </si>
  <si>
    <t>Baseline Delay (No Investment Scenario)</t>
  </si>
  <si>
    <t>Alternative Delay (Investment Scenario)</t>
  </si>
  <si>
    <t>►</t>
  </si>
  <si>
    <t>Net Benefit</t>
  </si>
  <si>
    <t>Tons per hour</t>
  </si>
  <si>
    <t># of hours</t>
  </si>
  <si>
    <t>Tons per day</t>
  </si>
  <si>
    <t>STons per Year</t>
  </si>
  <si>
    <t>Ltons /Year</t>
  </si>
  <si>
    <t>Monetized Value</t>
  </si>
  <si>
    <t>$/Yr</t>
  </si>
  <si>
    <t>Engines/Train</t>
  </si>
  <si>
    <t>PM</t>
  </si>
  <si>
    <t>VOC</t>
  </si>
  <si>
    <t>Nox</t>
  </si>
  <si>
    <t>SO2</t>
  </si>
  <si>
    <t>CO2</t>
  </si>
  <si>
    <t>Source:</t>
  </si>
  <si>
    <t xml:space="preserve">1 Ston = </t>
  </si>
  <si>
    <t>Ltons</t>
  </si>
  <si>
    <t>HC</t>
  </si>
  <si>
    <t>NOx</t>
  </si>
  <si>
    <t>CO</t>
  </si>
  <si>
    <t>Monetized Value sourced from TIGER BCA Resource Guide</t>
  </si>
  <si>
    <t>Engines per train =</t>
  </si>
  <si>
    <t>PTRA</t>
  </si>
  <si>
    <t>Horsepower per engine</t>
  </si>
  <si>
    <t>Engine Tier</t>
  </si>
  <si>
    <t>Tons per Day</t>
  </si>
  <si>
    <t>Assumptions</t>
  </si>
  <si>
    <t>PHA Envn Dept</t>
  </si>
  <si>
    <t>Baseline Emission from Diesel Fuel (No Investment Scenario)</t>
  </si>
  <si>
    <t>Cost per Year of Emissions from Diesel Locomotives</t>
  </si>
  <si>
    <t>Alternative Emissions from Diesel Locomotives (Investment Scenario)</t>
  </si>
  <si>
    <t>1. Reduction in Train Delay Benefit Parameters</t>
  </si>
  <si>
    <t>2. Reduction in Emissions from Diesel Locomotives Benefit Parameters</t>
  </si>
  <si>
    <t>Calculations</t>
  </si>
  <si>
    <t>3. Reduction in Emissions from Substitution of Train for Truck Shipments</t>
  </si>
  <si>
    <r>
      <t>PM</t>
    </r>
    <r>
      <rPr>
        <sz val="10"/>
        <color theme="1"/>
        <rFont val="Arial"/>
        <family val="2"/>
      </rPr>
      <t>10</t>
    </r>
  </si>
  <si>
    <r>
      <t>PM</t>
    </r>
    <r>
      <rPr>
        <sz val="10"/>
        <color theme="1"/>
        <rFont val="Arial"/>
        <family val="2"/>
      </rPr>
      <t>2.5</t>
    </r>
  </si>
  <si>
    <t>Trains travel on this rail at a notch 4</t>
  </si>
  <si>
    <t>Value of emissions from TIGER BCA Resource Guide</t>
  </si>
  <si>
    <t>cars</t>
  </si>
  <si>
    <t>loaded</t>
  </si>
  <si>
    <t>can switch to truck</t>
  </si>
  <si>
    <t>Emissions source: PHA Environmental</t>
  </si>
  <si>
    <t>Percentage of commodities that could travel by train:</t>
  </si>
  <si>
    <t>Petrochemical &amp; plastics will get out by other means and displace the other 24%</t>
  </si>
  <si>
    <t>Trucks per train:</t>
  </si>
  <si>
    <t>Train Emissions Calculation</t>
  </si>
  <si>
    <t>Pollutant</t>
  </si>
  <si>
    <t>STons per hour</t>
  </si>
  <si>
    <t>Lton Conversion</t>
  </si>
  <si>
    <t>Ltons per hour</t>
  </si>
  <si>
    <t># locomotives</t>
  </si>
  <si>
    <t>$/Lton</t>
  </si>
  <si>
    <t>Emision cost $/hour</t>
  </si>
  <si>
    <t>PM10</t>
  </si>
  <si>
    <t>PM2.5</t>
  </si>
  <si>
    <t>Truck Emission Calculation</t>
  </si>
  <si>
    <t>trucks</t>
  </si>
  <si>
    <t>Ltons/hour/train</t>
  </si>
  <si>
    <t>D - C</t>
  </si>
  <si>
    <t>F * E</t>
  </si>
  <si>
    <t>G * H</t>
  </si>
  <si>
    <t>O * P</t>
  </si>
  <si>
    <t>R - 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</si>
  <si>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</si>
  <si>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</si>
  <si>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</si>
  <si>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</si>
  <si>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</si>
  <si>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</si>
  <si>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</si>
  <si>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</si>
  <si>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</si>
  <si>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</si>
  <si>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</si>
  <si>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</si>
  <si>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</si>
  <si>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</si>
  <si>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</si>
  <si>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</si>
  <si>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</si>
  <si>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</si>
  <si>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</si>
  <si>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Period</t>
  </si>
  <si>
    <t>Current max capacity trains/day</t>
  </si>
  <si>
    <t>Train Forecast</t>
  </si>
  <si>
    <t>Incremental trains per day</t>
  </si>
  <si>
    <t># loaded cars / train</t>
  </si>
  <si>
    <t>Incremental loaded cars</t>
  </si>
  <si>
    <t>% loaded cars available to go to truck</t>
  </si>
  <si>
    <t># locomotives per train</t>
  </si>
  <si>
    <t>Incremental locomotives</t>
  </si>
  <si>
    <t>Emission cost per hour operation locomotive</t>
  </si>
  <si>
    <t>Emision cost locomotives per 8 hour day</t>
  </si>
  <si>
    <t>Incremental cars available to go to truck</t>
  </si>
  <si>
    <t>Trucks per car</t>
  </si>
  <si>
    <t>Trucks</t>
  </si>
  <si>
    <t>Emission cost per hour operation truck</t>
  </si>
  <si>
    <t>Emission cost truck</t>
  </si>
  <si>
    <t>Emision cost trucks per 8 hour day</t>
  </si>
  <si>
    <t>Emission cost per trucks over train per 8 hours operation</t>
  </si>
  <si>
    <t>Emission cost per trucks over train per 260 day year</t>
  </si>
  <si>
    <t>Year</t>
  </si>
  <si>
    <t>M * N</t>
  </si>
  <si>
    <t>Net Benefit Calculation</t>
  </si>
  <si>
    <t xml:space="preserve">Emissions for one hour of idling on a PTRA Tier 2 1500 hp switcher  locomotive </t>
  </si>
  <si>
    <t>note: EPA defines switcher locomotives as locomotives less than 2300 hp at  40 CFR 1033.901</t>
  </si>
  <si>
    <t>Inputs</t>
  </si>
  <si>
    <t>Horsepower</t>
  </si>
  <si>
    <t>hp</t>
  </si>
  <si>
    <t>from PTRA</t>
  </si>
  <si>
    <t>idle load factor</t>
  </si>
  <si>
    <t>no unit</t>
  </si>
  <si>
    <t>from page 5-11 of EPA's  April 2009 "Current Methodologies in Preparing Mobile Source Port-Related Emission Inventories"</t>
  </si>
  <si>
    <t>hours</t>
  </si>
  <si>
    <t>idle gallons per hour</t>
  </si>
  <si>
    <t>gph</t>
  </si>
  <si>
    <t>from my research the PTRA locomotives use Caterpillar 3512 engines.  According to the engine spec sheet, they burn 1.5 gallons per hour while idling)</t>
  </si>
  <si>
    <t xml:space="preserve">ULSD Density </t>
  </si>
  <si>
    <t>g/gal</t>
  </si>
  <si>
    <t xml:space="preserve">converted from ULSD spec sheet (829 kg/m3 converts to 829 grams to Liter (using Calculatorsoup.com) and that converts to 3138.1 grams per gallon using google) </t>
  </si>
  <si>
    <t>Fraction of fuel sulfur converted to SO2</t>
  </si>
  <si>
    <t>97.8% as detailed in EPA's April 2009 "Emission Factors for Locomotives" fact sheet</t>
  </si>
  <si>
    <t>Molecular weights of sulfur and SO2</t>
  </si>
  <si>
    <t>Sulfur content</t>
  </si>
  <si>
    <t>(Locomotives started to us 15 ppm ULSD in 2012)</t>
  </si>
  <si>
    <t>Carbon Content</t>
  </si>
  <si>
    <t>(87% as detailed in EPA's April 2009 "Emission Factors for Locomotives" fact sheet)</t>
  </si>
  <si>
    <t>Molecular weights of CO and CO2</t>
  </si>
  <si>
    <t>Emission rates from EPA's April 2009  "Emission Factors for Locomotives" fact sheet for Tier 2 switcher locomotives</t>
  </si>
  <si>
    <t>Formula for PM, HC, NOx, CO</t>
  </si>
  <si>
    <t>Emission Rate (g/bhp-hr)</t>
  </si>
  <si>
    <t>X</t>
  </si>
  <si>
    <t>Hours</t>
  </si>
  <si>
    <t>Horse power</t>
  </si>
  <si>
    <t>Idle load Factor</t>
  </si>
  <si>
    <t>=</t>
  </si>
  <si>
    <t>grams per hour</t>
  </si>
  <si>
    <t>Convert to tons per hour</t>
  </si>
  <si>
    <t>PM2.5 emission can estimated at 0.97 times the 9m10 emissions</t>
  </si>
  <si>
    <t>Fuel Density (grams per gallon)</t>
  </si>
  <si>
    <t>conversion factor</t>
  </si>
  <si>
    <t>molecular weights of sulfur and SO2</t>
  </si>
  <si>
    <t>grams per gallon</t>
  </si>
  <si>
    <t>Gallons per hour fuel consumption when idling</t>
  </si>
  <si>
    <t>Grams per hour</t>
  </si>
  <si>
    <t>Carbon content</t>
  </si>
  <si>
    <t>Drayage truck emissions for one hour</t>
  </si>
  <si>
    <t>using 460 hp (from reasearch it looks like engines are usually 400 to 520 hop)</t>
  </si>
  <si>
    <t>Past studies have show that the age of the average drayage truck in Houston is 10 years old so I will be using model year 2004 EPA emission standards</t>
  </si>
  <si>
    <t>Grams/bhp-hr</t>
  </si>
  <si>
    <t>NOX</t>
  </si>
  <si>
    <t>Formula</t>
  </si>
  <si>
    <t>emission rate (grams/bhp-hr)</t>
  </si>
  <si>
    <t>convert to short tons</t>
  </si>
  <si>
    <t>PM2.5 emission can estimated at 0.97 times the PM10 emissions</t>
  </si>
  <si>
    <t>Emissions for one truck operating for an hour</t>
  </si>
  <si>
    <t>Emissions (short tons)</t>
  </si>
  <si>
    <r>
      <t>(64 g SO</t>
    </r>
    <r>
      <rPr>
        <sz val="10"/>
        <color rgb="FF000000"/>
        <rFont val="Arial"/>
        <family val="2"/>
      </rPr>
      <t>2</t>
    </r>
    <r>
      <rPr>
        <sz val="10"/>
        <color theme="1"/>
        <rFont val="Arial"/>
        <family val="2"/>
      </rPr>
      <t>/32 g S equals 2) from EPA's April 2009 "Emission Factors for Locomotives" fact sheet)</t>
    </r>
  </si>
  <si>
    <r>
      <t>(44 g CO</t>
    </r>
    <r>
      <rPr>
        <sz val="10"/>
        <color rgb="FF000000"/>
        <rFont val="Arial"/>
        <family val="2"/>
      </rPr>
      <t>2</t>
    </r>
    <r>
      <rPr>
        <sz val="10"/>
        <color theme="1"/>
        <rFont val="Arial"/>
        <family val="2"/>
      </rPr>
      <t>/12 g C equals 3.67) from EPA's April 2009 "Emission Factors for Locomotives" fact sheet)</t>
    </r>
  </si>
  <si>
    <r>
      <t>PM</t>
    </r>
    <r>
      <rPr>
        <sz val="10"/>
        <color rgb="FF000000"/>
        <rFont val="Arial"/>
        <family val="2"/>
      </rPr>
      <t>10</t>
    </r>
  </si>
  <si>
    <r>
      <t>PM</t>
    </r>
    <r>
      <rPr>
        <sz val="10"/>
        <color rgb="FF000000"/>
        <rFont val="Arial"/>
        <family val="2"/>
      </rPr>
      <t>2.5</t>
    </r>
  </si>
  <si>
    <r>
      <t>Formula for SO</t>
    </r>
    <r>
      <rPr>
        <sz val="10"/>
        <color rgb="FF000000"/>
        <rFont val="Arial"/>
        <family val="2"/>
      </rPr>
      <t>2</t>
    </r>
  </si>
  <si>
    <r>
      <t>Formula for CO</t>
    </r>
    <r>
      <rPr>
        <sz val="10"/>
        <color rgb="FF000000"/>
        <rFont val="Arial"/>
        <family val="2"/>
      </rPr>
      <t>2</t>
    </r>
  </si>
  <si>
    <r>
      <t>molecular weights of carbon and CO</t>
    </r>
    <r>
      <rPr>
        <sz val="10"/>
        <color rgb="FF000000"/>
        <rFont val="Arial"/>
        <family val="2"/>
      </rPr>
      <t>2</t>
    </r>
  </si>
  <si>
    <r>
      <t>SO</t>
    </r>
    <r>
      <rPr>
        <sz val="10"/>
        <color rgb="FF000000"/>
        <rFont val="Arial"/>
        <family val="2"/>
      </rPr>
      <t>2</t>
    </r>
  </si>
  <si>
    <r>
      <t>CO</t>
    </r>
    <r>
      <rPr>
        <sz val="10"/>
        <color rgb="FF000000"/>
        <rFont val="Arial"/>
        <family val="2"/>
      </rPr>
      <t>2</t>
    </r>
  </si>
  <si>
    <t>Net Benefits</t>
  </si>
  <si>
    <t>Benefit Cost Ratio</t>
  </si>
  <si>
    <t>¨</t>
  </si>
  <si>
    <t>Contents (this worksheet)</t>
  </si>
  <si>
    <t>Model Summary</t>
  </si>
  <si>
    <t>Inputs and Analysis</t>
  </si>
  <si>
    <t>Benefits Estimate</t>
  </si>
  <si>
    <t>Backup Data</t>
  </si>
  <si>
    <t>Idle Cost Back Up</t>
  </si>
  <si>
    <t>Train for Truck Data</t>
  </si>
  <si>
    <t>Annual estimates of all benefits</t>
  </si>
  <si>
    <t>Annual estimates of all costs</t>
  </si>
  <si>
    <t>Inputs and parameters used for benefit and cost estimates</t>
  </si>
  <si>
    <t>Data and assumptions for estimate of benefits from substitution of train for truck shipments</t>
  </si>
  <si>
    <t>Data and assumptions for estimate of benefits from reduction in emissions from locomotive idling</t>
  </si>
  <si>
    <t>Summary of benefits and costs</t>
  </si>
  <si>
    <t>H-GAC TIP Application</t>
  </si>
  <si>
    <t>Major Investment</t>
  </si>
  <si>
    <t>January 12, 2015</t>
  </si>
  <si>
    <t>Amount of Funding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</si>
</sst>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#,##0"/>
    <numFmt numFmtId="165" formatCode="#,##0\ &quot;days&quot;"/>
    <numFmt numFmtId="166" formatCode="_(* #,##0_);_(* \(#,##0\);_(* &quot;-&quot;??_);_(@_)"/>
    <numFmt numFmtId="167" formatCode="_(* #,##0.000000_);_(* \(#,##0.000000\);_(* &quot;-&quot;??_);_(@_)"/>
    <numFmt numFmtId="168" formatCode="&quot;$&quot;#,##0.00"/>
    <numFmt numFmtId="169" formatCode="_(* #,##0.0000000_);_(* \(#,##0.0000000\);_(* &quot;-&quot;??_);_(@_)"/>
    <numFmt numFmtId="170" formatCode="_(* #,##0.00000000_);_(* \(#,##0.00000000\);_(* &quot;-&quot;??_);_(@_)"/>
    <numFmt numFmtId="171" formatCode="0.00000%"/>
    <numFmt numFmtId="172" formatCode="0.0000000"/>
    <numFmt numFmtId="173" formatCode="0.00000000"/>
    <numFmt numFmtId="174" formatCode="0.000000"/>
    <numFmt numFmtId="175" formatCode="0.000000000"/>
    <numFmt numFmtId="176" formatCode="_(* #,##0.000000_);_(* \(#,##0.000000\);_(* &quot;-&quot;??????_);_(@_)"/>
    <numFmt numFmtId="177" formatCode="_(* #,##0.00000_);_(* \(#,##0.00000\);_(* &quot;-&quot;??_);_(@_)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Wingdings 2"/>
      <family val="1"/>
      <charset val="2"/>
    </font>
    <font>
      <u/>
      <sz val="10"/>
      <color theme="10"/>
      <name val="Arial"/>
      <family val="2"/>
    </font>
    <font>
      <sz val="11"/>
      <color rgb="FF0070C0"/>
      <name val="Wingdings 2"/>
      <family val="1"/>
      <charset val="2"/>
    </font>
    <font>
      <sz val="11"/>
      <color rgb="FF00B050"/>
      <name val="Wingdings 2"/>
      <family val="1"/>
      <charset val="2"/>
    </font>
    <font>
      <sz val="11"/>
      <color theme="1" tint="0.499984740745262"/>
      <name val="Wingdings 2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91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5" fontId="6" fillId="0" borderId="0" xfId="0" quotePrefix="1" applyNumberFormat="1" applyFont="1"/>
    <xf numFmtId="164" fontId="6" fillId="0" borderId="0" xfId="0" applyNumberFormat="1" applyFont="1" applyAlignment="1">
      <alignment horizontal="left"/>
    </xf>
    <xf numFmtId="0" fontId="0" fillId="0" borderId="0" xfId="0" applyBorder="1"/>
    <xf numFmtId="0" fontId="3" fillId="0" borderId="0" xfId="0" applyFont="1" applyBorder="1"/>
    <xf numFmtId="0" fontId="0" fillId="0" borderId="0" xfId="0" applyFont="1" applyBorder="1"/>
    <xf numFmtId="0" fontId="8" fillId="0" borderId="2" xfId="0" quotePrefix="1" applyFont="1" applyBorder="1"/>
    <xf numFmtId="0" fontId="8" fillId="0" borderId="2" xfId="0" applyFont="1" applyBorder="1"/>
    <xf numFmtId="0" fontId="0" fillId="0" borderId="2" xfId="0" applyBorder="1"/>
    <xf numFmtId="0" fontId="3" fillId="0" borderId="2" xfId="0" applyFont="1" applyBorder="1"/>
    <xf numFmtId="5" fontId="8" fillId="0" borderId="2" xfId="0" applyNumberFormat="1" applyFont="1" applyBorder="1"/>
    <xf numFmtId="3" fontId="8" fillId="0" borderId="2" xfId="0" applyNumberFormat="1" applyFont="1" applyBorder="1"/>
    <xf numFmtId="14" fontId="8" fillId="0" borderId="2" xfId="0" applyNumberFormat="1" applyFont="1" applyBorder="1"/>
    <xf numFmtId="9" fontId="8" fillId="0" borderId="2" xfId="2" applyFont="1" applyBorder="1"/>
    <xf numFmtId="165" fontId="9" fillId="0" borderId="2" xfId="3" applyNumberFormat="1" applyFont="1" applyFill="1" applyBorder="1" applyProtection="1"/>
    <xf numFmtId="0" fontId="4" fillId="0" borderId="0" xfId="0" applyFont="1" applyBorder="1"/>
    <xf numFmtId="1" fontId="8" fillId="0" borderId="2" xfId="0" applyNumberFormat="1" applyFont="1" applyBorder="1"/>
    <xf numFmtId="164" fontId="10" fillId="0" borderId="0" xfId="0" applyNumberFormat="1" applyFont="1"/>
    <xf numFmtId="164" fontId="11" fillId="0" borderId="0" xfId="0" applyNumberFormat="1" applyFont="1"/>
    <xf numFmtId="0" fontId="10" fillId="0" borderId="2" xfId="0" applyFont="1" applyBorder="1"/>
    <xf numFmtId="164" fontId="10" fillId="0" borderId="2" xfId="0" applyNumberFormat="1" applyFont="1" applyBorder="1"/>
    <xf numFmtId="0" fontId="11" fillId="0" borderId="2" xfId="0" applyFont="1" applyBorder="1" applyAlignment="1">
      <alignment horizontal="left" indent="1"/>
    </xf>
    <xf numFmtId="0" fontId="11" fillId="0" borderId="2" xfId="0" applyFont="1" applyBorder="1"/>
    <xf numFmtId="164" fontId="11" fillId="0" borderId="2" xfId="0" applyNumberFormat="1" applyFont="1" applyBorder="1"/>
    <xf numFmtId="0" fontId="0" fillId="0" borderId="2" xfId="0" applyBorder="1" applyAlignment="1">
      <alignment horizontal="left" indent="1"/>
    </xf>
    <xf numFmtId="164" fontId="0" fillId="0" borderId="2" xfId="0" applyNumberFormat="1" applyBorder="1"/>
    <xf numFmtId="164" fontId="3" fillId="0" borderId="2" xfId="0" applyNumberFormat="1" applyFont="1" applyBorder="1"/>
    <xf numFmtId="4" fontId="8" fillId="0" borderId="3" xfId="0" applyNumberFormat="1" applyFont="1" applyBorder="1"/>
    <xf numFmtId="166" fontId="0" fillId="0" borderId="2" xfId="1" applyNumberFormat="1" applyFont="1" applyBorder="1"/>
    <xf numFmtId="164" fontId="8" fillId="0" borderId="3" xfId="0" applyNumberFormat="1" applyFont="1" applyBorder="1"/>
    <xf numFmtId="0" fontId="10" fillId="0" borderId="0" xfId="0" applyFont="1" applyAlignment="1">
      <alignment horizontal="left"/>
    </xf>
    <xf numFmtId="164" fontId="0" fillId="0" borderId="3" xfId="0" applyNumberFormat="1" applyFont="1" applyBorder="1"/>
    <xf numFmtId="0" fontId="0" fillId="0" borderId="2" xfId="0" applyFont="1" applyBorder="1" applyAlignment="1">
      <alignment horizontal="left" indent="1"/>
    </xf>
    <xf numFmtId="0" fontId="4" fillId="0" borderId="0" xfId="0" applyFont="1" applyAlignment="1">
      <alignment horizontal="left"/>
    </xf>
    <xf numFmtId="167" fontId="0" fillId="0" borderId="0" xfId="0" applyNumberFormat="1"/>
    <xf numFmtId="0" fontId="10" fillId="0" borderId="2" xfId="0" applyFont="1" applyBorder="1" applyAlignment="1">
      <alignment horizontal="left"/>
    </xf>
    <xf numFmtId="0" fontId="10" fillId="0" borderId="2" xfId="0" quotePrefix="1" applyFont="1" applyBorder="1" applyAlignment="1">
      <alignment horizontal="right"/>
    </xf>
    <xf numFmtId="0" fontId="13" fillId="0" borderId="0" xfId="4" applyFont="1" applyBorder="1" applyAlignment="1">
      <alignment wrapText="1"/>
    </xf>
    <xf numFmtId="0" fontId="13" fillId="0" borderId="2" xfId="4" applyFont="1" applyBorder="1" applyAlignment="1">
      <alignment wrapText="1"/>
    </xf>
    <xf numFmtId="0" fontId="12" fillId="0" borderId="2" xfId="4" applyBorder="1"/>
    <xf numFmtId="0" fontId="12" fillId="0" borderId="2" xfId="4" applyBorder="1" applyAlignment="1">
      <alignment wrapText="1"/>
    </xf>
    <xf numFmtId="168" fontId="8" fillId="0" borderId="2" xfId="0" applyNumberFormat="1" applyFont="1" applyBorder="1"/>
    <xf numFmtId="0" fontId="0" fillId="0" borderId="2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0" xfId="0" quotePrefix="1" applyFont="1"/>
    <xf numFmtId="5" fontId="0" fillId="0" borderId="2" xfId="0" applyNumberFormat="1" applyFont="1" applyBorder="1"/>
    <xf numFmtId="165" fontId="0" fillId="0" borderId="2" xfId="0" applyNumberFormat="1" applyFont="1" applyBorder="1"/>
    <xf numFmtId="0" fontId="0" fillId="0" borderId="2" xfId="0" quotePrefix="1" applyFont="1" applyBorder="1"/>
    <xf numFmtId="0" fontId="0" fillId="0" borderId="2" xfId="0" quotePrefix="1" applyFont="1" applyBorder="1" applyAlignment="1">
      <alignment horizontal="right"/>
    </xf>
    <xf numFmtId="7" fontId="0" fillId="0" borderId="2" xfId="0" applyNumberFormat="1" applyFont="1" applyBorder="1"/>
    <xf numFmtId="0" fontId="0" fillId="0" borderId="2" xfId="0" applyFont="1" applyBorder="1" applyAlignment="1">
      <alignment wrapText="1"/>
    </xf>
    <xf numFmtId="3" fontId="0" fillId="0" borderId="2" xfId="0" applyNumberFormat="1" applyFont="1" applyBorder="1"/>
    <xf numFmtId="4" fontId="0" fillId="0" borderId="2" xfId="0" applyNumberFormat="1" applyFont="1" applyBorder="1"/>
    <xf numFmtId="164" fontId="0" fillId="0" borderId="2" xfId="0" applyNumberFormat="1" applyFont="1" applyBorder="1"/>
    <xf numFmtId="175" fontId="0" fillId="0" borderId="2" xfId="0" applyNumberFormat="1" applyFont="1" applyBorder="1"/>
    <xf numFmtId="176" fontId="0" fillId="0" borderId="2" xfId="0" applyNumberFormat="1" applyFont="1" applyBorder="1"/>
    <xf numFmtId="0" fontId="0" fillId="0" borderId="22" xfId="0" applyFont="1" applyBorder="1"/>
    <xf numFmtId="170" fontId="0" fillId="0" borderId="2" xfId="0" applyNumberFormat="1" applyFont="1" applyBorder="1"/>
    <xf numFmtId="169" fontId="0" fillId="0" borderId="2" xfId="0" applyNumberFormat="1" applyFont="1" applyBorder="1"/>
    <xf numFmtId="177" fontId="0" fillId="0" borderId="2" xfId="0" applyNumberFormat="1" applyFont="1" applyBorder="1"/>
    <xf numFmtId="168" fontId="0" fillId="0" borderId="2" xfId="0" applyNumberFormat="1" applyFont="1" applyBorder="1"/>
    <xf numFmtId="168" fontId="0" fillId="0" borderId="21" xfId="0" applyNumberFormat="1" applyFont="1" applyBorder="1"/>
    <xf numFmtId="168" fontId="0" fillId="0" borderId="23" xfId="0" applyNumberFormat="1" applyFont="1" applyBorder="1"/>
    <xf numFmtId="0" fontId="0" fillId="0" borderId="23" xfId="0" applyFont="1" applyBorder="1"/>
    <xf numFmtId="2" fontId="0" fillId="0" borderId="2" xfId="0" applyNumberFormat="1" applyFont="1" applyBorder="1"/>
    <xf numFmtId="0" fontId="15" fillId="0" borderId="2" xfId="0" applyFont="1" applyBorder="1" applyAlignment="1">
      <alignment horizontal="center"/>
    </xf>
    <xf numFmtId="0" fontId="3" fillId="0" borderId="0" xfId="4" applyFont="1" applyBorder="1"/>
    <xf numFmtId="0" fontId="0" fillId="0" borderId="2" xfId="4" applyFont="1" applyBorder="1"/>
    <xf numFmtId="170" fontId="8" fillId="0" borderId="2" xfId="5" applyNumberFormat="1" applyFont="1" applyFill="1" applyBorder="1" applyAlignment="1">
      <alignment horizontal="center"/>
    </xf>
    <xf numFmtId="0" fontId="0" fillId="0" borderId="0" xfId="4" applyFont="1" applyBorder="1"/>
    <xf numFmtId="0" fontId="0" fillId="0" borderId="0" xfId="4" applyFont="1" applyBorder="1" applyAlignment="1">
      <alignment wrapText="1"/>
    </xf>
    <xf numFmtId="0" fontId="3" fillId="0" borderId="2" xfId="4" applyFont="1" applyBorder="1" applyAlignment="1">
      <alignment horizontal="right" wrapText="1"/>
    </xf>
    <xf numFmtId="0" fontId="3" fillId="0" borderId="2" xfId="4" applyFont="1" applyBorder="1" applyAlignment="1">
      <alignment wrapText="1"/>
    </xf>
    <xf numFmtId="0" fontId="3" fillId="0" borderId="2" xfId="4" applyFont="1" applyFill="1" applyBorder="1" applyAlignment="1">
      <alignment horizontal="center"/>
    </xf>
    <xf numFmtId="0" fontId="8" fillId="0" borderId="2" xfId="4" applyFont="1" applyBorder="1"/>
    <xf numFmtId="170" fontId="8" fillId="0" borderId="2" xfId="5" applyNumberFormat="1" applyFont="1" applyFill="1" applyBorder="1"/>
    <xf numFmtId="0" fontId="0" fillId="0" borderId="0" xfId="4" applyFont="1" applyFill="1" applyBorder="1" applyAlignment="1">
      <alignment horizontal="left"/>
    </xf>
    <xf numFmtId="0" fontId="0" fillId="0" borderId="2" xfId="4" applyFont="1" applyFill="1" applyBorder="1" applyAlignment="1">
      <alignment horizontal="left"/>
    </xf>
    <xf numFmtId="0" fontId="0" fillId="0" borderId="2" xfId="4" applyFont="1" applyFill="1" applyBorder="1"/>
    <xf numFmtId="0" fontId="3" fillId="0" borderId="0" xfId="4" applyFont="1" applyFill="1" applyBorder="1" applyAlignment="1">
      <alignment horizontal="left"/>
    </xf>
    <xf numFmtId="0" fontId="0" fillId="0" borderId="2" xfId="4" applyFont="1" applyBorder="1" applyAlignment="1">
      <alignment wrapText="1"/>
    </xf>
    <xf numFmtId="0" fontId="0" fillId="0" borderId="2" xfId="4" applyFont="1" applyFill="1" applyBorder="1" applyAlignment="1">
      <alignment wrapText="1"/>
    </xf>
    <xf numFmtId="0" fontId="12" fillId="0" borderId="0" xfId="4" applyBorder="1"/>
    <xf numFmtId="9" fontId="0" fillId="0" borderId="2" xfId="6" applyFont="1" applyBorder="1"/>
    <xf numFmtId="0" fontId="1" fillId="0" borderId="2" xfId="4" applyFont="1" applyBorder="1"/>
    <xf numFmtId="9" fontId="0" fillId="0" borderId="2" xfId="2" applyFont="1" applyBorder="1"/>
    <xf numFmtId="0" fontId="1" fillId="0" borderId="0" xfId="0" applyFont="1"/>
    <xf numFmtId="0" fontId="1" fillId="0" borderId="2" xfId="4" applyFont="1" applyBorder="1" applyAlignment="1">
      <alignment wrapText="1"/>
    </xf>
    <xf numFmtId="174" fontId="1" fillId="0" borderId="2" xfId="0" applyNumberFormat="1" applyFont="1" applyBorder="1"/>
    <xf numFmtId="0" fontId="1" fillId="0" borderId="2" xfId="0" applyFont="1" applyBorder="1"/>
    <xf numFmtId="43" fontId="1" fillId="0" borderId="2" xfId="0" applyNumberFormat="1" applyFont="1" applyBorder="1"/>
    <xf numFmtId="0" fontId="1" fillId="0" borderId="21" xfId="4" applyFont="1" applyBorder="1" applyAlignment="1">
      <alignment wrapText="1"/>
    </xf>
    <xf numFmtId="166" fontId="8" fillId="0" borderId="2" xfId="5" applyNumberFormat="1" applyFont="1" applyBorder="1"/>
    <xf numFmtId="43" fontId="8" fillId="0" borderId="2" xfId="5" applyFont="1" applyBorder="1"/>
    <xf numFmtId="43" fontId="0" fillId="0" borderId="2" xfId="0" applyNumberFormat="1" applyFont="1" applyBorder="1"/>
    <xf numFmtId="0" fontId="3" fillId="0" borderId="0" xfId="0" applyFont="1" applyFill="1" applyBorder="1"/>
    <xf numFmtId="174" fontId="8" fillId="0" borderId="2" xfId="0" applyNumberFormat="1" applyFont="1" applyBorder="1"/>
    <xf numFmtId="174" fontId="1" fillId="0" borderId="24" xfId="0" applyNumberFormat="1" applyFont="1" applyBorder="1"/>
    <xf numFmtId="0" fontId="8" fillId="0" borderId="2" xfId="0" applyFont="1" applyFill="1" applyBorder="1"/>
    <xf numFmtId="0" fontId="12" fillId="0" borderId="0" xfId="4"/>
    <xf numFmtId="0" fontId="1" fillId="0" borderId="0" xfId="4" applyFont="1"/>
    <xf numFmtId="0" fontId="13" fillId="0" borderId="2" xfId="4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0" xfId="4" applyFont="1" applyBorder="1" applyAlignment="1">
      <alignment wrapText="1"/>
    </xf>
    <xf numFmtId="0" fontId="3" fillId="0" borderId="25" xfId="4" applyFont="1" applyBorder="1" applyAlignment="1">
      <alignment horizontal="center"/>
    </xf>
    <xf numFmtId="9" fontId="8" fillId="0" borderId="2" xfId="0" applyNumberFormat="1" applyFont="1" applyBorder="1"/>
    <xf numFmtId="37" fontId="0" fillId="0" borderId="2" xfId="0" applyNumberFormat="1" applyFont="1" applyBorder="1"/>
    <xf numFmtId="0" fontId="0" fillId="0" borderId="2" xfId="0" applyFont="1" applyFill="1" applyBorder="1"/>
    <xf numFmtId="9" fontId="8" fillId="0" borderId="2" xfId="0" applyNumberFormat="1" applyFont="1" applyFill="1" applyBorder="1"/>
    <xf numFmtId="0" fontId="0" fillId="0" borderId="0" xfId="0" applyFont="1" applyFill="1"/>
    <xf numFmtId="43" fontId="0" fillId="0" borderId="2" xfId="0" applyNumberFormat="1" applyFont="1" applyFill="1" applyBorder="1"/>
    <xf numFmtId="39" fontId="0" fillId="0" borderId="2" xfId="0" applyNumberFormat="1" applyFont="1" applyFill="1" applyBorder="1"/>
    <xf numFmtId="3" fontId="0" fillId="0" borderId="2" xfId="0" applyNumberFormat="1" applyFont="1" applyFill="1" applyBorder="1"/>
    <xf numFmtId="0" fontId="16" fillId="0" borderId="4" xfId="4" applyFont="1" applyFill="1" applyBorder="1" applyAlignment="1">
      <alignment wrapText="1"/>
    </xf>
    <xf numFmtId="0" fontId="1" fillId="0" borderId="0" xfId="4" applyFont="1" applyFill="1" applyBorder="1"/>
    <xf numFmtId="0" fontId="1" fillId="0" borderId="5" xfId="4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8" xfId="4" applyFont="1" applyFill="1" applyBorder="1" applyAlignment="1">
      <alignment horizontal="right"/>
    </xf>
    <xf numFmtId="0" fontId="1" fillId="0" borderId="0" xfId="4" applyFont="1" applyFill="1" applyBorder="1" applyAlignment="1">
      <alignment horizontal="center"/>
    </xf>
    <xf numFmtId="0" fontId="1" fillId="0" borderId="9" xfId="4" applyFont="1" applyFill="1" applyBorder="1"/>
    <xf numFmtId="0" fontId="17" fillId="0" borderId="0" xfId="4" applyFont="1" applyFill="1" applyBorder="1"/>
    <xf numFmtId="0" fontId="1" fillId="0" borderId="10" xfId="4" applyFont="1" applyFill="1" applyBorder="1"/>
    <xf numFmtId="0" fontId="1" fillId="0" borderId="11" xfId="4" applyFont="1" applyFill="1" applyBorder="1"/>
    <xf numFmtId="0" fontId="1" fillId="0" borderId="12" xfId="4" applyFont="1" applyFill="1" applyBorder="1"/>
    <xf numFmtId="171" fontId="1" fillId="0" borderId="0" xfId="6" applyNumberFormat="1" applyFont="1" applyFill="1" applyBorder="1"/>
    <xf numFmtId="0" fontId="1" fillId="0" borderId="8" xfId="4" applyFont="1" applyFill="1" applyBorder="1"/>
    <xf numFmtId="0" fontId="1" fillId="0" borderId="0" xfId="4" applyFont="1" applyFill="1" applyBorder="1" applyAlignment="1">
      <alignment horizontal="center" wrapText="1"/>
    </xf>
    <xf numFmtId="0" fontId="16" fillId="3" borderId="8" xfId="4" applyFont="1" applyFill="1" applyBorder="1" applyAlignment="1">
      <alignment horizontal="center"/>
    </xf>
    <xf numFmtId="172" fontId="1" fillId="3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/>
    <xf numFmtId="0" fontId="1" fillId="0" borderId="8" xfId="4" applyFont="1" applyFill="1" applyBorder="1" applyAlignment="1">
      <alignment horizontal="center"/>
    </xf>
    <xf numFmtId="0" fontId="1" fillId="0" borderId="9" xfId="4" applyFont="1" applyFill="1" applyBorder="1" applyAlignment="1">
      <alignment horizontal="center" wrapText="1"/>
    </xf>
    <xf numFmtId="173" fontId="1" fillId="3" borderId="9" xfId="4" applyNumberFormat="1" applyFont="1" applyFill="1" applyBorder="1" applyAlignment="1">
      <alignment horizontal="center"/>
    </xf>
    <xf numFmtId="173" fontId="1" fillId="0" borderId="9" xfId="4" applyNumberFormat="1" applyFont="1" applyFill="1" applyBorder="1" applyAlignment="1">
      <alignment horizontal="center"/>
    </xf>
    <xf numFmtId="0" fontId="16" fillId="3" borderId="10" xfId="4" applyFont="1" applyFill="1" applyBorder="1" applyAlignment="1">
      <alignment horizontal="center"/>
    </xf>
    <xf numFmtId="0" fontId="1" fillId="0" borderId="11" xfId="4" applyFont="1" applyFill="1" applyBorder="1" applyAlignment="1">
      <alignment horizontal="center"/>
    </xf>
    <xf numFmtId="173" fontId="1" fillId="3" borderId="11" xfId="4" applyNumberFormat="1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0" fontId="1" fillId="0" borderId="14" xfId="4" applyFont="1" applyFill="1" applyBorder="1" applyAlignment="1">
      <alignment horizontal="left" wrapText="1"/>
    </xf>
    <xf numFmtId="0" fontId="1" fillId="0" borderId="15" xfId="4" applyFont="1" applyFill="1" applyBorder="1" applyAlignment="1">
      <alignment horizontal="center"/>
    </xf>
    <xf numFmtId="172" fontId="1" fillId="0" borderId="16" xfId="4" applyNumberFormat="1" applyFont="1" applyFill="1" applyBorder="1" applyAlignment="1">
      <alignment horizontal="left"/>
    </xf>
    <xf numFmtId="0" fontId="1" fillId="0" borderId="17" xfId="4" applyFont="1" applyFill="1" applyBorder="1" applyAlignment="1">
      <alignment horizontal="center"/>
    </xf>
    <xf numFmtId="0" fontId="1" fillId="0" borderId="19" xfId="4" applyFont="1" applyFill="1" applyBorder="1" applyAlignment="1">
      <alignment horizontal="center"/>
    </xf>
    <xf numFmtId="0" fontId="1" fillId="4" borderId="0" xfId="4" applyFont="1" applyFill="1" applyBorder="1"/>
    <xf numFmtId="174" fontId="1" fillId="0" borderId="0" xfId="4" applyNumberFormat="1" applyFont="1" applyFill="1" applyBorder="1" applyAlignment="1">
      <alignment horizontal="center"/>
    </xf>
    <xf numFmtId="0" fontId="1" fillId="0" borderId="13" xfId="4" applyFont="1" applyFill="1" applyBorder="1"/>
    <xf numFmtId="0" fontId="1" fillId="0" borderId="14" xfId="4" applyFont="1" applyFill="1" applyBorder="1" applyAlignment="1">
      <alignment wrapText="1"/>
    </xf>
    <xf numFmtId="0" fontId="1" fillId="0" borderId="15" xfId="4" applyFont="1" applyFill="1" applyBorder="1"/>
    <xf numFmtId="0" fontId="1" fillId="0" borderId="16" xfId="4" applyFont="1" applyFill="1" applyBorder="1" applyAlignment="1">
      <alignment horizontal="center"/>
    </xf>
    <xf numFmtId="0" fontId="1" fillId="0" borderId="17" xfId="4" applyFont="1" applyFill="1" applyBorder="1"/>
    <xf numFmtId="0" fontId="1" fillId="0" borderId="18" xfId="4" applyFont="1" applyFill="1" applyBorder="1" applyAlignment="1">
      <alignment horizontal="center"/>
    </xf>
    <xf numFmtId="174" fontId="1" fillId="0" borderId="18" xfId="4" applyNumberFormat="1" applyFont="1" applyFill="1" applyBorder="1" applyAlignment="1">
      <alignment horizontal="center"/>
    </xf>
    <xf numFmtId="0" fontId="1" fillId="0" borderId="19" xfId="4" applyFont="1" applyFill="1" applyBorder="1"/>
    <xf numFmtId="174" fontId="1" fillId="0" borderId="20" xfId="4" applyNumberFormat="1" applyFont="1" applyFill="1" applyBorder="1" applyAlignment="1">
      <alignment horizontal="center"/>
    </xf>
    <xf numFmtId="172" fontId="1" fillId="0" borderId="18" xfId="4" applyNumberFormat="1" applyFont="1" applyFill="1" applyBorder="1" applyAlignment="1">
      <alignment horizontal="left"/>
    </xf>
    <xf numFmtId="173" fontId="1" fillId="0" borderId="18" xfId="4" applyNumberFormat="1" applyFont="1" applyFill="1" applyBorder="1" applyAlignment="1">
      <alignment horizontal="left"/>
    </xf>
    <xf numFmtId="173" fontId="1" fillId="0" borderId="20" xfId="4" applyNumberFormat="1" applyFont="1" applyFill="1" applyBorder="1" applyAlignment="1">
      <alignment horizontal="left"/>
    </xf>
    <xf numFmtId="174" fontId="0" fillId="0" borderId="0" xfId="0" applyNumberFormat="1"/>
    <xf numFmtId="0" fontId="3" fillId="0" borderId="2" xfId="0" applyFont="1" applyFill="1" applyBorder="1" applyAlignment="1">
      <alignment horizontal="left"/>
    </xf>
    <xf numFmtId="164" fontId="0" fillId="0" borderId="0" xfId="0" applyNumberForma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/>
    <xf numFmtId="0" fontId="18" fillId="0" borderId="0" xfId="0" applyFont="1" applyProtection="1"/>
    <xf numFmtId="0" fontId="19" fillId="0" borderId="0" xfId="7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164" fontId="3" fillId="5" borderId="3" xfId="0" applyNumberFormat="1" applyFont="1" applyFill="1" applyBorder="1"/>
    <xf numFmtId="164" fontId="3" fillId="7" borderId="3" xfId="0" applyNumberFormat="1" applyFont="1" applyFill="1" applyBorder="1"/>
    <xf numFmtId="164" fontId="3" fillId="6" borderId="2" xfId="0" applyNumberFormat="1" applyFont="1" applyFill="1" applyBorder="1"/>
    <xf numFmtId="164" fontId="3" fillId="6" borderId="24" xfId="0" applyNumberFormat="1" applyFont="1" applyFill="1" applyBorder="1"/>
    <xf numFmtId="9" fontId="0" fillId="0" borderId="0" xfId="0" applyNumberFormat="1" applyFont="1"/>
    <xf numFmtId="0" fontId="0" fillId="0" borderId="0" xfId="0" applyFont="1" applyBorder="1" applyAlignment="1">
      <alignment horizontal="right"/>
    </xf>
    <xf numFmtId="164" fontId="14" fillId="0" borderId="2" xfId="0" applyNumberFormat="1" applyFont="1" applyBorder="1"/>
    <xf numFmtId="166" fontId="0" fillId="0" borderId="0" xfId="1" applyNumberFormat="1" applyFont="1"/>
    <xf numFmtId="166" fontId="0" fillId="0" borderId="0" xfId="0" applyNumberFormat="1" applyFont="1"/>
    <xf numFmtId="164" fontId="0" fillId="0" borderId="2" xfId="0" applyNumberFormat="1" applyFont="1" applyFill="1" applyBorder="1"/>
    <xf numFmtId="10" fontId="13" fillId="0" borderId="2" xfId="4" applyNumberFormat="1" applyFont="1" applyBorder="1" applyAlignment="1">
      <alignment wrapText="1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left"/>
    </xf>
  </cellXfs>
  <cellStyles count="8">
    <cellStyle name="Calculation" xfId="3" builtinId="22"/>
    <cellStyle name="Comma" xfId="1" builtinId="3"/>
    <cellStyle name="Comma 2" xfId="5"/>
    <cellStyle name="Hyperlink" xfId="7" builtinId="8"/>
    <cellStyle name="Normal" xfId="0" builtinId="0"/>
    <cellStyle name="Normal 2" xfId="4"/>
    <cellStyle name="Percent" xfId="2" builtinId="5"/>
    <cellStyle name="Percent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342900</xdr:colOff>
      <xdr:row>5</xdr:row>
      <xdr:rowOff>57150</xdr:rowOff>
    </xdr:to>
    <xdr:pic>
      <xdr:nvPicPr>
        <xdr:cNvPr id="2" name="Picture 1" descr="Port of Houston Authori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19050</xdr:rowOff>
    </xdr:from>
    <xdr:to>
      <xdr:col>2</xdr:col>
      <xdr:colOff>228600</xdr:colOff>
      <xdr:row>6</xdr:row>
      <xdr:rowOff>95250</xdr:rowOff>
    </xdr:to>
    <xdr:pic>
      <xdr:nvPicPr>
        <xdr:cNvPr id="2" name="Picture 1" descr="Port of Houston Authorit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C2:C23"/>
  <sheetViews>
    <sheetView showGridLines="0" tabSelected="1" workbookViewId="0">
      <selection activeCell="C2" sqref="C2"/>
    </sheetView>
  </sheetViews>
  <sheetFormatPr defaultRowHeight="12.75" x14ac:dyDescent="0.2"/>
  <cols>
    <col min="2" max="2" width="5.5703125" customWidth="1"/>
    <col min="3" max="3" width="33" bestFit="1" customWidth="1"/>
  </cols>
  <sheetData>
    <row r="2" spans="3:3" ht="15.75" x14ac:dyDescent="0.25">
      <c r="C2" s="4" t="s">
        <v>367</v>
      </c>
    </row>
    <row r="3" spans="3:3" ht="15" x14ac:dyDescent="0.2">
      <c r="C3" s="5"/>
    </row>
    <row r="4" spans="3:3" ht="15.75" x14ac:dyDescent="0.25">
      <c r="C4" s="6" t="s">
        <v>0</v>
      </c>
    </row>
    <row r="5" spans="3:3" ht="15" x14ac:dyDescent="0.2">
      <c r="C5" s="5" t="s">
        <v>1</v>
      </c>
    </row>
    <row r="6" spans="3:3" ht="15" x14ac:dyDescent="0.2">
      <c r="C6" s="5"/>
    </row>
    <row r="7" spans="3:3" ht="15.75" x14ac:dyDescent="0.25">
      <c r="C7" s="6" t="s">
        <v>2</v>
      </c>
    </row>
    <row r="8" spans="3:3" ht="15" x14ac:dyDescent="0.2">
      <c r="C8" s="5" t="s">
        <v>3</v>
      </c>
    </row>
    <row r="9" spans="3:3" ht="15" x14ac:dyDescent="0.2">
      <c r="C9" s="5"/>
    </row>
    <row r="10" spans="3:3" ht="15.75" x14ac:dyDescent="0.25">
      <c r="C10" s="6" t="s">
        <v>4</v>
      </c>
    </row>
    <row r="11" spans="3:3" ht="15" x14ac:dyDescent="0.2">
      <c r="C11" s="5" t="s">
        <v>368</v>
      </c>
    </row>
    <row r="12" spans="3:3" ht="15" x14ac:dyDescent="0.2">
      <c r="C12" s="5"/>
    </row>
    <row r="13" spans="3:3" ht="15.75" x14ac:dyDescent="0.25">
      <c r="C13" s="6" t="s">
        <v>5</v>
      </c>
    </row>
    <row r="14" spans="3:3" ht="15" x14ac:dyDescent="0.2">
      <c r="C14" s="5" t="s">
        <v>6</v>
      </c>
    </row>
    <row r="15" spans="3:3" ht="15" x14ac:dyDescent="0.2">
      <c r="C15" s="5"/>
    </row>
    <row r="16" spans="3:3" ht="15.75" x14ac:dyDescent="0.25">
      <c r="C16" s="6" t="s">
        <v>7</v>
      </c>
    </row>
    <row r="17" spans="3:3" ht="15" x14ac:dyDescent="0.2">
      <c r="C17" s="5" t="s">
        <v>8</v>
      </c>
    </row>
    <row r="18" spans="3:3" ht="15" x14ac:dyDescent="0.2">
      <c r="C18" s="5"/>
    </row>
    <row r="19" spans="3:3" ht="15.75" x14ac:dyDescent="0.25">
      <c r="C19" s="6" t="s">
        <v>370</v>
      </c>
    </row>
    <row r="20" spans="3:3" ht="15" x14ac:dyDescent="0.2">
      <c r="C20" s="8">
        <f>Summary!C6/2</f>
        <v>10649631.846325001</v>
      </c>
    </row>
    <row r="21" spans="3:3" ht="15" x14ac:dyDescent="0.2">
      <c r="C21" s="5"/>
    </row>
    <row r="22" spans="3:3" ht="15.75" x14ac:dyDescent="0.25">
      <c r="C22" s="6" t="s">
        <v>9</v>
      </c>
    </row>
    <row r="23" spans="3:3" ht="15" x14ac:dyDescent="0.2">
      <c r="C23" s="7" t="s">
        <v>369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15"/>
  <sheetViews>
    <sheetView showGridLines="0" zoomScaleNormal="100" workbookViewId="0"/>
  </sheetViews>
  <sheetFormatPr defaultRowHeight="12.75" x14ac:dyDescent="0.2"/>
  <cols>
    <col min="1" max="1" width="1.7109375" customWidth="1"/>
    <col min="4" max="4" width="6.140625" customWidth="1"/>
    <col min="6" max="6" width="13.42578125" customWidth="1"/>
  </cols>
  <sheetData>
    <row r="1" spans="4:7" ht="5.0999999999999996" customHeight="1" x14ac:dyDescent="0.2"/>
    <row r="4" spans="4:7" x14ac:dyDescent="0.2">
      <c r="D4" s="2" t="s">
        <v>355</v>
      </c>
    </row>
    <row r="5" spans="4:7" ht="14.25" x14ac:dyDescent="0.2">
      <c r="D5" s="177" t="s">
        <v>353</v>
      </c>
      <c r="E5" s="174" t="s">
        <v>354</v>
      </c>
    </row>
    <row r="6" spans="4:7" ht="14.25" x14ac:dyDescent="0.2">
      <c r="D6" s="177" t="s">
        <v>353</v>
      </c>
      <c r="E6" s="174" t="s">
        <v>146</v>
      </c>
      <c r="G6" t="s">
        <v>366</v>
      </c>
    </row>
    <row r="8" spans="4:7" x14ac:dyDescent="0.2">
      <c r="D8" s="2" t="s">
        <v>356</v>
      </c>
    </row>
    <row r="9" spans="4:7" ht="14.25" x14ac:dyDescent="0.2">
      <c r="D9" s="175" t="s">
        <v>353</v>
      </c>
      <c r="E9" s="174" t="s">
        <v>357</v>
      </c>
      <c r="G9" t="s">
        <v>361</v>
      </c>
    </row>
    <row r="10" spans="4:7" ht="14.25" x14ac:dyDescent="0.2">
      <c r="D10" s="175" t="s">
        <v>353</v>
      </c>
      <c r="E10" s="174" t="s">
        <v>140</v>
      </c>
      <c r="G10" t="s">
        <v>362</v>
      </c>
    </row>
    <row r="11" spans="4:7" ht="14.25" x14ac:dyDescent="0.2">
      <c r="D11" s="175" t="s">
        <v>353</v>
      </c>
      <c r="E11" s="174" t="s">
        <v>87</v>
      </c>
      <c r="G11" t="s">
        <v>363</v>
      </c>
    </row>
    <row r="12" spans="4:7" ht="14.25" x14ac:dyDescent="0.2">
      <c r="D12" s="173"/>
    </row>
    <row r="13" spans="4:7" x14ac:dyDescent="0.2">
      <c r="D13" s="2" t="s">
        <v>358</v>
      </c>
    </row>
    <row r="14" spans="4:7" ht="14.25" x14ac:dyDescent="0.2">
      <c r="D14" s="176" t="s">
        <v>353</v>
      </c>
      <c r="E14" s="174" t="s">
        <v>360</v>
      </c>
      <c r="G14" t="s">
        <v>364</v>
      </c>
    </row>
    <row r="15" spans="4:7" ht="14.25" x14ac:dyDescent="0.2">
      <c r="D15" s="176" t="s">
        <v>353</v>
      </c>
      <c r="E15" s="174" t="s">
        <v>359</v>
      </c>
      <c r="G15" t="s">
        <v>365</v>
      </c>
    </row>
  </sheetData>
  <hyperlinks>
    <hyperlink ref="E15" location="'Idle Cost Back Up'!A1" display="Idle Cost Back Up"/>
    <hyperlink ref="E14" location="'Sub of train for truck data'!A1" display="Train for Truck Data"/>
    <hyperlink ref="E11" location="Parameters!A1" display="Parameters"/>
    <hyperlink ref="E10" location="'Cost Estimate'!A1" display="Cost Estimate"/>
    <hyperlink ref="E9" location="'Benefits Estimate'!A1" display="Benefits Estimate"/>
    <hyperlink ref="E6" location="Summary!A1" display="Summary"/>
    <hyperlink ref="E5" location="Contents!A1" display="Contents (this worksheet)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9"/>
  <sheetViews>
    <sheetView showGridLines="0" zoomScale="80" zoomScaleNormal="80" workbookViewId="0">
      <selection activeCell="C32" sqref="C32"/>
    </sheetView>
  </sheetViews>
  <sheetFormatPr defaultRowHeight="12.75" x14ac:dyDescent="0.2"/>
  <cols>
    <col min="1" max="1" width="1.7109375" customWidth="1"/>
    <col min="2" max="2" width="62.85546875" bestFit="1" customWidth="1"/>
    <col min="3" max="3" width="12" bestFit="1" customWidth="1"/>
    <col min="4" max="4" width="1.7109375" customWidth="1"/>
    <col min="5" max="5" width="12.7109375" bestFit="1" customWidth="1"/>
    <col min="6" max="6" width="10.85546875" bestFit="1" customWidth="1"/>
    <col min="7" max="7" width="12.7109375" bestFit="1" customWidth="1"/>
    <col min="8" max="34" width="10.85546875" bestFit="1" customWidth="1"/>
  </cols>
  <sheetData>
    <row r="1" spans="2:34" ht="5.0999999999999996" customHeight="1" x14ac:dyDescent="0.2"/>
    <row r="2" spans="2:34" x14ac:dyDescent="0.2">
      <c r="B2" s="2" t="s">
        <v>146</v>
      </c>
    </row>
    <row r="4" spans="2:34" x14ac:dyDescent="0.2">
      <c r="B4" s="2" t="s">
        <v>147</v>
      </c>
    </row>
    <row r="5" spans="2:34" x14ac:dyDescent="0.2">
      <c r="C5" s="15" t="s">
        <v>145</v>
      </c>
      <c r="E5" s="15">
        <f>Start_Year</f>
        <v>2015</v>
      </c>
      <c r="F5" s="15">
        <f>E5+1</f>
        <v>2016</v>
      </c>
      <c r="G5" s="15">
        <f t="shared" ref="G5:AH5" si="0">F5+1</f>
        <v>2017</v>
      </c>
      <c r="H5" s="15">
        <f t="shared" si="0"/>
        <v>2018</v>
      </c>
      <c r="I5" s="15">
        <f t="shared" si="0"/>
        <v>2019</v>
      </c>
      <c r="J5" s="15">
        <f t="shared" si="0"/>
        <v>2020</v>
      </c>
      <c r="K5" s="15">
        <f t="shared" si="0"/>
        <v>2021</v>
      </c>
      <c r="L5" s="15">
        <f t="shared" si="0"/>
        <v>2022</v>
      </c>
      <c r="M5" s="15">
        <f t="shared" si="0"/>
        <v>2023</v>
      </c>
      <c r="N5" s="15">
        <f t="shared" si="0"/>
        <v>2024</v>
      </c>
      <c r="O5" s="15">
        <f t="shared" si="0"/>
        <v>2025</v>
      </c>
      <c r="P5" s="15">
        <f t="shared" si="0"/>
        <v>2026</v>
      </c>
      <c r="Q5" s="15">
        <f t="shared" si="0"/>
        <v>2027</v>
      </c>
      <c r="R5" s="15">
        <f t="shared" si="0"/>
        <v>2028</v>
      </c>
      <c r="S5" s="15">
        <f t="shared" si="0"/>
        <v>2029</v>
      </c>
      <c r="T5" s="15">
        <f t="shared" si="0"/>
        <v>2030</v>
      </c>
      <c r="U5" s="15">
        <f t="shared" si="0"/>
        <v>2031</v>
      </c>
      <c r="V5" s="15">
        <f t="shared" si="0"/>
        <v>2032</v>
      </c>
      <c r="W5" s="15">
        <f t="shared" si="0"/>
        <v>2033</v>
      </c>
      <c r="X5" s="15">
        <f t="shared" si="0"/>
        <v>2034</v>
      </c>
      <c r="Y5" s="15">
        <f t="shared" si="0"/>
        <v>2035</v>
      </c>
      <c r="Z5" s="15">
        <f t="shared" si="0"/>
        <v>2036</v>
      </c>
      <c r="AA5" s="15">
        <f t="shared" si="0"/>
        <v>2037</v>
      </c>
      <c r="AB5" s="15">
        <f t="shared" si="0"/>
        <v>2038</v>
      </c>
      <c r="AC5" s="15">
        <f t="shared" si="0"/>
        <v>2039</v>
      </c>
      <c r="AD5" s="15">
        <f t="shared" si="0"/>
        <v>2040</v>
      </c>
      <c r="AE5" s="15">
        <f t="shared" si="0"/>
        <v>2041</v>
      </c>
      <c r="AF5" s="15">
        <f t="shared" si="0"/>
        <v>2042</v>
      </c>
      <c r="AG5" s="15">
        <f t="shared" si="0"/>
        <v>2043</v>
      </c>
      <c r="AH5" s="15">
        <f t="shared" si="0"/>
        <v>2044</v>
      </c>
    </row>
    <row r="6" spans="2:34" x14ac:dyDescent="0.2">
      <c r="B6" s="15" t="s">
        <v>148</v>
      </c>
      <c r="C6" s="179">
        <f>SUM(E6:AH6)</f>
        <v>21299263.692650001</v>
      </c>
      <c r="E6" s="32">
        <f>SUM(E7:E8)</f>
        <v>21201042.300119191</v>
      </c>
      <c r="F6" s="32">
        <f t="shared" ref="F6:N6" si="1">SUM(F7:F8)</f>
        <v>7476.6355140186915</v>
      </c>
      <c r="G6" s="32">
        <f t="shared" si="1"/>
        <v>6987.5098261856929</v>
      </c>
      <c r="H6" s="32">
        <f t="shared" si="1"/>
        <v>6530.3830151268157</v>
      </c>
      <c r="I6" s="32">
        <f t="shared" si="1"/>
        <v>6103.1616963802016</v>
      </c>
      <c r="J6" s="32">
        <f t="shared" si="1"/>
        <v>5703.8894358693469</v>
      </c>
      <c r="K6" s="32">
        <f t="shared" si="1"/>
        <v>5330.7377905321</v>
      </c>
      <c r="L6" s="32">
        <f t="shared" si="1"/>
        <v>4981.9979350767289</v>
      </c>
      <c r="M6" s="32">
        <f t="shared" si="1"/>
        <v>4656.0728365203076</v>
      </c>
      <c r="N6" s="32">
        <f t="shared" si="1"/>
        <v>4351.4699406731843</v>
      </c>
      <c r="O6" s="32">
        <f t="shared" ref="O6" si="2">SUM(O7:O8)</f>
        <v>4066.7943370777425</v>
      </c>
      <c r="P6" s="32">
        <f t="shared" ref="P6" si="3">SUM(P7:P8)</f>
        <v>3800.7423711006932</v>
      </c>
      <c r="Q6" s="32">
        <f t="shared" ref="Q6" si="4">SUM(Q7:Q8)</f>
        <v>3552.0956739258822</v>
      </c>
      <c r="R6" s="32">
        <f t="shared" ref="R6" si="5">SUM(R7:R8)</f>
        <v>3319.715583108301</v>
      </c>
      <c r="S6" s="32">
        <f t="shared" ref="S6" si="6">SUM(S7:S8)</f>
        <v>3102.537928138599</v>
      </c>
      <c r="T6" s="32">
        <f t="shared" ref="T6" si="7">SUM(T7:T8)</f>
        <v>2899.5681571388773</v>
      </c>
      <c r="U6" s="32">
        <f t="shared" ref="U6" si="8">SUM(U7:U8)</f>
        <v>2709.8767823727831</v>
      </c>
      <c r="V6" s="32">
        <f t="shared" ref="V6" si="9">SUM(V7:V8)</f>
        <v>2532.5951237128811</v>
      </c>
      <c r="W6" s="32">
        <f t="shared" ref="W6" si="10">SUM(W7:W8)</f>
        <v>2366.911330572786</v>
      </c>
      <c r="X6" s="32">
        <f t="shared" ref="X6" si="11">SUM(X7:X8)</f>
        <v>2212.0666640867157</v>
      </c>
      <c r="Y6" s="32">
        <f t="shared" ref="Y6" si="12">SUM(Y7:Y8)</f>
        <v>2067.3520225109496</v>
      </c>
      <c r="Z6" s="32">
        <f t="shared" ref="Z6" si="13">SUM(Z7:Z8)</f>
        <v>1932.1046939354669</v>
      </c>
      <c r="AA6" s="32">
        <f t="shared" ref="AA6" si="14">SUM(AA7:AA8)</f>
        <v>1805.7053214350158</v>
      </c>
      <c r="AB6" s="32">
        <f t="shared" ref="AB6" si="15">SUM(AB7:AB8)</f>
        <v>1687.5750667616969</v>
      </c>
      <c r="AC6" s="32">
        <f t="shared" ref="AC6" si="16">SUM(AC7:AC8)</f>
        <v>1577.172959590371</v>
      </c>
      <c r="AD6" s="32">
        <f t="shared" ref="AD6" si="17">SUM(AD7:AD8)</f>
        <v>1473.9934201779165</v>
      </c>
      <c r="AE6" s="32">
        <f t="shared" ref="AE6" si="18">SUM(AE7:AE8)</f>
        <v>1377.5639440915111</v>
      </c>
      <c r="AF6" s="32">
        <f t="shared" ref="AF6" si="19">SUM(AF7:AF8)</f>
        <v>1287.442938403281</v>
      </c>
      <c r="AG6" s="32">
        <f t="shared" ref="AG6" si="20">SUM(AG7:AG8)</f>
        <v>1203.2176994423189</v>
      </c>
      <c r="AH6" s="32">
        <f t="shared" ref="AH6" si="21">SUM(AH7:AH8)</f>
        <v>1124.5025228432887</v>
      </c>
    </row>
    <row r="7" spans="2:34" x14ac:dyDescent="0.2">
      <c r="B7" s="38" t="s">
        <v>149</v>
      </c>
      <c r="C7" s="37">
        <f t="shared" ref="C7:C8" si="22">SUM(E7:AH7)</f>
        <v>21201042.300119191</v>
      </c>
      <c r="E7" s="31">
        <f>'Cost Estimate'!F6/((1+Discount_1)^(E$5-$E$5))</f>
        <v>21201042.300119191</v>
      </c>
      <c r="F7" s="31">
        <f>'Cost Estimate'!G6/((1+Discount_1)^(F$5-$E$5))</f>
        <v>0</v>
      </c>
      <c r="G7" s="31">
        <f>'Cost Estimate'!H6/((1+Discount_1)^(G$5-$E$5))</f>
        <v>0</v>
      </c>
      <c r="H7" s="31">
        <f>'Cost Estimate'!I6/((1+Discount_1)^(H$5-$E$5))</f>
        <v>0</v>
      </c>
      <c r="I7" s="31">
        <f>'Cost Estimate'!J6/((1+Discount_1)^(I$5-$E$5))</f>
        <v>0</v>
      </c>
      <c r="J7" s="31">
        <f>'Cost Estimate'!K6/((1+Discount_1)^(J$5-$E$5))</f>
        <v>0</v>
      </c>
      <c r="K7" s="31">
        <f>'Cost Estimate'!L6/((1+Discount_1)^(K$5-$E$5))</f>
        <v>0</v>
      </c>
      <c r="L7" s="31">
        <f>'Cost Estimate'!M6/((1+Discount_1)^(L$5-$E$5))</f>
        <v>0</v>
      </c>
      <c r="M7" s="31">
        <f>'Cost Estimate'!N6/((1+Discount_1)^(M$5-$E$5))</f>
        <v>0</v>
      </c>
      <c r="N7" s="31">
        <f>'Cost Estimate'!O6/((1+Discount_1)^(N$5-$E$5))</f>
        <v>0</v>
      </c>
      <c r="O7" s="31">
        <f>'Cost Estimate'!P6/((1+Discount_1)^(O$5-$E$5))</f>
        <v>0</v>
      </c>
      <c r="P7" s="31">
        <f>'Cost Estimate'!Q6/((1+Discount_1)^(P$5-$E$5))</f>
        <v>0</v>
      </c>
      <c r="Q7" s="31">
        <f>'Cost Estimate'!R6/((1+Discount_1)^(Q$5-$E$5))</f>
        <v>0</v>
      </c>
      <c r="R7" s="31">
        <f>'Cost Estimate'!S6/((1+Discount_1)^(R$5-$E$5))</f>
        <v>0</v>
      </c>
      <c r="S7" s="31">
        <f>'Cost Estimate'!T6/((1+Discount_1)^(S$5-$E$5))</f>
        <v>0</v>
      </c>
      <c r="T7" s="31">
        <f>'Cost Estimate'!U6/((1+Discount_1)^(T$5-$E$5))</f>
        <v>0</v>
      </c>
      <c r="U7" s="31">
        <f>'Cost Estimate'!V6/((1+Discount_1)^(U$5-$E$5))</f>
        <v>0</v>
      </c>
      <c r="V7" s="31">
        <f>'Cost Estimate'!W6/((1+Discount_1)^(V$5-$E$5))</f>
        <v>0</v>
      </c>
      <c r="W7" s="31">
        <f>'Cost Estimate'!X6/((1+Discount_1)^(W$5-$E$5))</f>
        <v>0</v>
      </c>
      <c r="X7" s="31">
        <f>'Cost Estimate'!Y6/((1+Discount_1)^(X$5-$E$5))</f>
        <v>0</v>
      </c>
      <c r="Y7" s="31">
        <f>'Cost Estimate'!Z6/((1+Discount_1)^(Y$5-$E$5))</f>
        <v>0</v>
      </c>
      <c r="Z7" s="31">
        <f>'Cost Estimate'!AA6/((1+Discount_1)^(Z$5-$E$5))</f>
        <v>0</v>
      </c>
      <c r="AA7" s="31">
        <f>'Cost Estimate'!AB6/((1+Discount_1)^(AA$5-$E$5))</f>
        <v>0</v>
      </c>
      <c r="AB7" s="31">
        <f>'Cost Estimate'!AC6/((1+Discount_1)^(AB$5-$E$5))</f>
        <v>0</v>
      </c>
      <c r="AC7" s="31">
        <f>'Cost Estimate'!AD6/((1+Discount_1)^(AC$5-$E$5))</f>
        <v>0</v>
      </c>
      <c r="AD7" s="31">
        <f>'Cost Estimate'!AE6/((1+Discount_1)^(AD$5-$E$5))</f>
        <v>0</v>
      </c>
      <c r="AE7" s="31">
        <f>'Cost Estimate'!AF6/((1+Discount_1)^(AE$5-$E$5))</f>
        <v>0</v>
      </c>
      <c r="AF7" s="31">
        <f>'Cost Estimate'!AG6/((1+Discount_1)^(AF$5-$E$5))</f>
        <v>0</v>
      </c>
      <c r="AG7" s="31">
        <f>'Cost Estimate'!AH6/((1+Discount_1)^(AG$5-$E$5))</f>
        <v>0</v>
      </c>
      <c r="AH7" s="31">
        <f>'Cost Estimate'!AI6/((1+Discount_1)^(AH$5-$E$5))</f>
        <v>0</v>
      </c>
    </row>
    <row r="8" spans="2:34" x14ac:dyDescent="0.2">
      <c r="B8" s="38" t="s">
        <v>150</v>
      </c>
      <c r="C8" s="37">
        <f t="shared" si="22"/>
        <v>98221.392530810146</v>
      </c>
      <c r="E8" s="31">
        <f>'Cost Estimate'!F36/((1+Discount_1)^(E$5-$E$5))</f>
        <v>0</v>
      </c>
      <c r="F8" s="31">
        <f>'Cost Estimate'!G36/((1+Discount_1)^(F$5-$E$5))</f>
        <v>7476.6355140186915</v>
      </c>
      <c r="G8" s="31">
        <f>'Cost Estimate'!H36/((1+Discount_1)^(G$5-$E$5))</f>
        <v>6987.5098261856929</v>
      </c>
      <c r="H8" s="31">
        <f>'Cost Estimate'!I36/((1+Discount_1)^(H$5-$E$5))</f>
        <v>6530.3830151268157</v>
      </c>
      <c r="I8" s="31">
        <f>'Cost Estimate'!J36/((1+Discount_1)^(I$5-$E$5))</f>
        <v>6103.1616963802016</v>
      </c>
      <c r="J8" s="31">
        <f>'Cost Estimate'!K36/((1+Discount_1)^(J$5-$E$5))</f>
        <v>5703.8894358693469</v>
      </c>
      <c r="K8" s="31">
        <f>'Cost Estimate'!L36/((1+Discount_1)^(K$5-$E$5))</f>
        <v>5330.7377905321</v>
      </c>
      <c r="L8" s="31">
        <f>'Cost Estimate'!M36/((1+Discount_1)^(L$5-$E$5))</f>
        <v>4981.9979350767289</v>
      </c>
      <c r="M8" s="31">
        <f>'Cost Estimate'!N36/((1+Discount_1)^(M$5-$E$5))</f>
        <v>4656.0728365203076</v>
      </c>
      <c r="N8" s="31">
        <f>'Cost Estimate'!O36/((1+Discount_1)^(N$5-$E$5))</f>
        <v>4351.4699406731843</v>
      </c>
      <c r="O8" s="31">
        <f>'Cost Estimate'!P36/((1+Discount_1)^(O$5-$E$5))</f>
        <v>4066.7943370777425</v>
      </c>
      <c r="P8" s="31">
        <f>'Cost Estimate'!Q36/((1+Discount_1)^(P$5-$E$5))</f>
        <v>3800.7423711006932</v>
      </c>
      <c r="Q8" s="31">
        <f>'Cost Estimate'!R36/((1+Discount_1)^(Q$5-$E$5))</f>
        <v>3552.0956739258822</v>
      </c>
      <c r="R8" s="31">
        <f>'Cost Estimate'!S36/((1+Discount_1)^(R$5-$E$5))</f>
        <v>3319.715583108301</v>
      </c>
      <c r="S8" s="31">
        <f>'Cost Estimate'!T36/((1+Discount_1)^(S$5-$E$5))</f>
        <v>3102.537928138599</v>
      </c>
      <c r="T8" s="31">
        <f>'Cost Estimate'!U36/((1+Discount_1)^(T$5-$E$5))</f>
        <v>2899.5681571388773</v>
      </c>
      <c r="U8" s="31">
        <f>'Cost Estimate'!V36/((1+Discount_1)^(U$5-$E$5))</f>
        <v>2709.8767823727831</v>
      </c>
      <c r="V8" s="31">
        <f>'Cost Estimate'!W36/((1+Discount_1)^(V$5-$E$5))</f>
        <v>2532.5951237128811</v>
      </c>
      <c r="W8" s="31">
        <f>'Cost Estimate'!X36/((1+Discount_1)^(W$5-$E$5))</f>
        <v>2366.911330572786</v>
      </c>
      <c r="X8" s="31">
        <f>'Cost Estimate'!Y36/((1+Discount_1)^(X$5-$E$5))</f>
        <v>2212.0666640867157</v>
      </c>
      <c r="Y8" s="31">
        <f>'Cost Estimate'!Z36/((1+Discount_1)^(Y$5-$E$5))</f>
        <v>2067.3520225109496</v>
      </c>
      <c r="Z8" s="31">
        <f>'Cost Estimate'!AA36/((1+Discount_1)^(Z$5-$E$5))</f>
        <v>1932.1046939354669</v>
      </c>
      <c r="AA8" s="31">
        <f>'Cost Estimate'!AB36/((1+Discount_1)^(AA$5-$E$5))</f>
        <v>1805.7053214350158</v>
      </c>
      <c r="AB8" s="31">
        <f>'Cost Estimate'!AC36/((1+Discount_1)^(AB$5-$E$5))</f>
        <v>1687.5750667616969</v>
      </c>
      <c r="AC8" s="31">
        <f>'Cost Estimate'!AD36/((1+Discount_1)^(AC$5-$E$5))</f>
        <v>1577.172959590371</v>
      </c>
      <c r="AD8" s="31">
        <f>'Cost Estimate'!AE36/((1+Discount_1)^(AD$5-$E$5))</f>
        <v>1473.9934201779165</v>
      </c>
      <c r="AE8" s="31">
        <f>'Cost Estimate'!AF36/((1+Discount_1)^(AE$5-$E$5))</f>
        <v>1377.5639440915111</v>
      </c>
      <c r="AF8" s="31">
        <f>'Cost Estimate'!AG36/((1+Discount_1)^(AF$5-$E$5))</f>
        <v>1287.442938403281</v>
      </c>
      <c r="AG8" s="31">
        <f>'Cost Estimate'!AH36/((1+Discount_1)^(AG$5-$E$5))</f>
        <v>1203.2176994423189</v>
      </c>
      <c r="AH8" s="31">
        <f>'Cost Estimate'!AI36/((1+Discount_1)^(AH$5-$E$5))</f>
        <v>1124.5025228432887</v>
      </c>
    </row>
    <row r="9" spans="2:34" x14ac:dyDescent="0.2">
      <c r="B9" s="15" t="s">
        <v>151</v>
      </c>
      <c r="C9" s="178">
        <f>SUM(E9:AH9)</f>
        <v>36092230.08696311</v>
      </c>
      <c r="E9" s="32">
        <f>SUM(E10:E12)</f>
        <v>0</v>
      </c>
      <c r="F9" s="32">
        <f t="shared" ref="F9:AH9" si="23">SUM(F10:F12)</f>
        <v>1116363.6858384451</v>
      </c>
      <c r="G9" s="32">
        <f t="shared" si="23"/>
        <v>1280605.3804869878</v>
      </c>
      <c r="H9" s="32">
        <f t="shared" si="23"/>
        <v>1421232.6068488765</v>
      </c>
      <c r="I9" s="32">
        <f t="shared" si="23"/>
        <v>1465761.2689211364</v>
      </c>
      <c r="J9" s="32">
        <f t="shared" si="23"/>
        <v>1501767.7732182604</v>
      </c>
      <c r="K9" s="32">
        <f t="shared" si="23"/>
        <v>1520459.656958241</v>
      </c>
      <c r="L9" s="32">
        <f t="shared" si="23"/>
        <v>1533236.5944841665</v>
      </c>
      <c r="M9" s="32">
        <f t="shared" si="23"/>
        <v>1537834.4442640189</v>
      </c>
      <c r="N9" s="32">
        <f t="shared" si="23"/>
        <v>1537852.3692154652</v>
      </c>
      <c r="O9" s="32">
        <f t="shared" si="23"/>
        <v>1526456.9301805473</v>
      </c>
      <c r="P9" s="32">
        <f t="shared" si="23"/>
        <v>1512227.396845297</v>
      </c>
      <c r="Q9" s="32">
        <f t="shared" si="23"/>
        <v>1493326.6652706689</v>
      </c>
      <c r="R9" s="32">
        <f t="shared" si="23"/>
        <v>1472397.901665451</v>
      </c>
      <c r="S9" s="32">
        <f t="shared" si="23"/>
        <v>1444132.0033894749</v>
      </c>
      <c r="T9" s="32">
        <f t="shared" si="23"/>
        <v>1414984.4237186615</v>
      </c>
      <c r="U9" s="32">
        <f t="shared" si="23"/>
        <v>1383469.8780404059</v>
      </c>
      <c r="V9" s="32">
        <f t="shared" si="23"/>
        <v>1351526.5384584754</v>
      </c>
      <c r="W9" s="32">
        <f t="shared" si="23"/>
        <v>1315030.9508093842</v>
      </c>
      <c r="X9" s="32">
        <f t="shared" si="23"/>
        <v>1278839.5708169364</v>
      </c>
      <c r="Y9" s="32">
        <f t="shared" si="23"/>
        <v>1195177.1689877913</v>
      </c>
      <c r="Z9" s="32">
        <f t="shared" si="23"/>
        <v>1118135.195561829</v>
      </c>
      <c r="AA9" s="32">
        <f t="shared" si="23"/>
        <v>1043914.0265418737</v>
      </c>
      <c r="AB9" s="32">
        <f t="shared" si="23"/>
        <v>975620.58555315295</v>
      </c>
      <c r="AC9" s="32">
        <f t="shared" si="23"/>
        <v>911794.9397693018</v>
      </c>
      <c r="AD9" s="32">
        <f t="shared" si="23"/>
        <v>853019.98711594264</v>
      </c>
      <c r="AE9" s="32">
        <f t="shared" si="23"/>
        <v>796397.01263804862</v>
      </c>
      <c r="AF9" s="32">
        <f t="shared" si="23"/>
        <v>744296.27349350322</v>
      </c>
      <c r="AG9" s="32">
        <f t="shared" si="23"/>
        <v>695603.99391916196</v>
      </c>
      <c r="AH9" s="32">
        <f t="shared" si="23"/>
        <v>650764.86395159434</v>
      </c>
    </row>
    <row r="10" spans="2:34" x14ac:dyDescent="0.2">
      <c r="B10" s="30" t="s">
        <v>155</v>
      </c>
      <c r="C10" s="37">
        <f>SUM(E10:AH10)</f>
        <v>20550803.924098827</v>
      </c>
      <c r="E10" s="31">
        <f>'Benefits Estimate'!F6/((1+Discount_1)^(E5-$E$5))</f>
        <v>0</v>
      </c>
      <c r="F10" s="31">
        <f>'Benefits Estimate'!G6/((1+Discount_1)^(F5-$E$5))</f>
        <v>1111682.2429906542</v>
      </c>
      <c r="G10" s="31">
        <f>'Benefits Estimate'!H6/((1+Discount_1)^(G5-$E$5))</f>
        <v>1275220.543278889</v>
      </c>
      <c r="H10" s="31">
        <f>'Benefits Estimate'!I6/((1+Discount_1)^(H5-$E$5))</f>
        <v>1415256.4440595144</v>
      </c>
      <c r="I10" s="31">
        <f>'Benefits Estimate'!J6/((1+Discount_1)^(I5-$E$5))</f>
        <v>1322669.5738873968</v>
      </c>
      <c r="J10" s="31">
        <f>'Benefits Estimate'!K6/((1+Discount_1)^(J5-$E$5))</f>
        <v>1239526.4730323574</v>
      </c>
      <c r="K10" s="31">
        <f>'Benefits Estimate'!L6/((1+Discount_1)^(K5-$E$5))</f>
        <v>1155270.8305418787</v>
      </c>
      <c r="L10" s="31">
        <f>'Benefits Estimate'!M6/((1+Discount_1)^(L5-$E$5))</f>
        <v>1079692.3649924099</v>
      </c>
      <c r="M10" s="31">
        <f>'Benefits Estimate'!N6/((1+Discount_1)^(M5-$E$5))</f>
        <v>1009058.2850396354</v>
      </c>
      <c r="N10" s="31">
        <f>'Benefits Estimate'!O6/((1+Discount_1)^(N5-$E$5))</f>
        <v>945628.81148254126</v>
      </c>
      <c r="O10" s="31">
        <f>'Benefits Estimate'!P6/((1+Discount_1)^(O5-$E$5))</f>
        <v>881350.58523856697</v>
      </c>
      <c r="P10" s="31">
        <f>'Benefits Estimate'!Q6/((1+Discount_1)^(P5-$E$5))</f>
        <v>823692.13573697838</v>
      </c>
      <c r="Q10" s="31">
        <f>'Benefits Estimate'!R6/((1+Discount_1)^(Q5-$E$5))</f>
        <v>769805.73433362483</v>
      </c>
      <c r="R10" s="31">
        <f>'Benefits Estimate'!S6/((1+Discount_1)^(R5-$E$5))</f>
        <v>721415.6926542226</v>
      </c>
      <c r="S10" s="31">
        <f>'Benefits Estimate'!T6/((1+Discount_1)^(S5-$E$5))</f>
        <v>672378.14161378704</v>
      </c>
      <c r="T10" s="31">
        <f>'Benefits Estimate'!U6/((1+Discount_1)^(T5-$E$5))</f>
        <v>628390.78655494109</v>
      </c>
      <c r="U10" s="31">
        <f>'Benefits Estimate'!V6/((1+Discount_1)^(U5-$E$5))</f>
        <v>587281.10892985156</v>
      </c>
      <c r="V10" s="31">
        <f>'Benefits Estimate'!W6/((1+Discount_1)^(V5-$E$5))</f>
        <v>550364.57782185555</v>
      </c>
      <c r="W10" s="31">
        <f>'Benefits Estimate'!X6/((1+Discount_1)^(W5-$E$5))</f>
        <v>512954.06492257101</v>
      </c>
      <c r="X10" s="31">
        <f>'Benefits Estimate'!Y6/((1+Discount_1)^(X5-$E$5))</f>
        <v>479396.32235754299</v>
      </c>
      <c r="Y10" s="31">
        <f>'Benefits Estimate'!Z6/((1+Discount_1)^(Y5-$E$5))</f>
        <v>448033.94612854486</v>
      </c>
      <c r="Z10" s="31">
        <f>'Benefits Estimate'!AA6/((1+Discount_1)^(Z5-$E$5))</f>
        <v>419870.50130085112</v>
      </c>
      <c r="AA10" s="31">
        <f>'Benefits Estimate'!AB6/((1+Discount_1)^(AA5-$E$5))</f>
        <v>391330.20012974483</v>
      </c>
      <c r="AB10" s="31">
        <f>'Benefits Estimate'!AC6/((1+Discount_1)^(AB5-$E$5))</f>
        <v>365729.15899976151</v>
      </c>
      <c r="AC10" s="31">
        <f>'Benefits Estimate'!AD6/((1+Discount_1)^(AC5-$E$5))</f>
        <v>341802.95233622566</v>
      </c>
      <c r="AD10" s="31">
        <f>'Benefits Estimate'!AE6/((1+Discount_1)^(AD5-$E$5))</f>
        <v>320317.19512241351</v>
      </c>
      <c r="AE10" s="31">
        <f>'Benefits Estimate'!AF6/((1+Discount_1)^(AE5-$E$5))</f>
        <v>298543.93600858212</v>
      </c>
      <c r="AF10" s="31">
        <f>'Benefits Estimate'!AG6/((1+Discount_1)^(AF5-$E$5))</f>
        <v>279013.02430708607</v>
      </c>
      <c r="AG10" s="31">
        <f>'Benefits Estimate'!AH6/((1+Discount_1)^(AG5-$E$5))</f>
        <v>260759.83580101506</v>
      </c>
      <c r="AH10" s="31">
        <f>'Benefits Estimate'!AI6/((1+Discount_1)^(AH5-$E$5))</f>
        <v>244368.45449538218</v>
      </c>
    </row>
    <row r="11" spans="2:34" x14ac:dyDescent="0.2">
      <c r="B11" s="30" t="s">
        <v>156</v>
      </c>
      <c r="C11" s="37">
        <f t="shared" ref="C11:C12" si="24">SUM(E11:AH11)</f>
        <v>86715.221295697265</v>
      </c>
      <c r="E11" s="31">
        <f>'Benefits Estimate'!F7/((1+Discount_1)^(E5-$E$5))</f>
        <v>0</v>
      </c>
      <c r="F11" s="31">
        <f>'Benefits Estimate'!G7/((1+Discount_1)^(F5-$E$5))</f>
        <v>4681.4428477909023</v>
      </c>
      <c r="G11" s="31">
        <f>'Benefits Estimate'!H7/((1+Discount_1)^(G5-$E$5))</f>
        <v>5384.8372080988083</v>
      </c>
      <c r="H11" s="31">
        <f>'Benefits Estimate'!I7/((1+Discount_1)^(H5-$E$5))</f>
        <v>5976.1627893619925</v>
      </c>
      <c r="I11" s="31">
        <f>'Benefits Estimate'!J7/((1+Discount_1)^(I5-$E$5))</f>
        <v>5585.1988685626111</v>
      </c>
      <c r="J11" s="31">
        <f>'Benefits Estimate'!K7/((1+Discount_1)^(J5-$E$5))</f>
        <v>5219.8120266940277</v>
      </c>
      <c r="K11" s="31">
        <f>'Benefits Estimate'!L7/((1+Discount_1)^(K5-$E$5))</f>
        <v>4878.3289969103071</v>
      </c>
      <c r="L11" s="31">
        <f>'Benefits Estimate'!M7/((1+Discount_1)^(L5-$E$5))</f>
        <v>4559.1859784208473</v>
      </c>
      <c r="M11" s="31">
        <f>'Benefits Estimate'!N7/((1+Discount_1)^(M5-$E$5))</f>
        <v>4260.921475159671</v>
      </c>
      <c r="N11" s="31">
        <f>'Benefits Estimate'!O7/((1+Discount_1)^(N5-$E$5))</f>
        <v>3982.1696029529626</v>
      </c>
      <c r="O11" s="31">
        <f>'Benefits Estimate'!P7/((1+Discount_1)^(O5-$E$5))</f>
        <v>3721.6538345354793</v>
      </c>
      <c r="P11" s="31">
        <f>'Benefits Estimate'!Q7/((1+Discount_1)^(P5-$E$5))</f>
        <v>3478.1811537714757</v>
      </c>
      <c r="Q11" s="31">
        <f>'Benefits Estimate'!R7/((1+Discount_1)^(Q5-$E$5))</f>
        <v>3250.636592309791</v>
      </c>
      <c r="R11" s="31">
        <f>'Benefits Estimate'!S7/((1+Discount_1)^(R5-$E$5))</f>
        <v>3037.9781236540098</v>
      </c>
      <c r="S11" s="31">
        <f>'Benefits Estimate'!T7/((1+Discount_1)^(S5-$E$5))</f>
        <v>2839.23189126543</v>
      </c>
      <c r="T11" s="31">
        <f>'Benefits Estimate'!U7/((1+Discount_1)^(T5-$E$5))</f>
        <v>2653.4877488461962</v>
      </c>
      <c r="U11" s="31">
        <f>'Benefits Estimate'!V7/((1+Discount_1)^(U5-$E$5))</f>
        <v>2479.8950923796228</v>
      </c>
      <c r="V11" s="31">
        <f>'Benefits Estimate'!W7/((1+Discount_1)^(V5-$E$5))</f>
        <v>2317.6589648407689</v>
      </c>
      <c r="W11" s="31">
        <f>'Benefits Estimate'!X7/((1+Discount_1)^(W5-$E$5))</f>
        <v>2166.0364157390363</v>
      </c>
      <c r="X11" s="31">
        <f>'Benefits Estimate'!Y7/((1+Discount_1)^(X5-$E$5))</f>
        <v>2024.3330988215291</v>
      </c>
      <c r="Y11" s="31">
        <f>'Benefits Estimate'!Z7/((1+Discount_1)^(Y5-$E$5))</f>
        <v>1891.9000923565693</v>
      </c>
      <c r="Z11" s="31">
        <f>'Benefits Estimate'!AA7/((1+Discount_1)^(Z5-$E$5))</f>
        <v>1768.130927436046</v>
      </c>
      <c r="AA11" s="31">
        <f>'Benefits Estimate'!AB7/((1+Discount_1)^(AA5-$E$5))</f>
        <v>1652.4588106878934</v>
      </c>
      <c r="AB11" s="31">
        <f>'Benefits Estimate'!AC7/((1+Discount_1)^(AB5-$E$5))</f>
        <v>1544.3540286802743</v>
      </c>
      <c r="AC11" s="31">
        <f>'Benefits Estimate'!AD7/((1+Discount_1)^(AC5-$E$5))</f>
        <v>1443.3215221310975</v>
      </c>
      <c r="AD11" s="31">
        <f>'Benefits Estimate'!AE7/((1+Discount_1)^(AD5-$E$5))</f>
        <v>1348.8986188141096</v>
      </c>
      <c r="AE11" s="31">
        <f>'Benefits Estimate'!AF7/((1+Discount_1)^(AE5-$E$5))</f>
        <v>1260.6529147795418</v>
      </c>
      <c r="AF11" s="31">
        <f>'Benefits Estimate'!AG7/((1+Discount_1)^(AF5-$E$5))</f>
        <v>1178.1802941864876</v>
      </c>
      <c r="AG11" s="31">
        <f>'Benefits Estimate'!AH7/((1+Discount_1)^(AG5-$E$5))</f>
        <v>1101.1030786789604</v>
      </c>
      <c r="AH11" s="31">
        <f>'Benefits Estimate'!AI7/((1+Discount_1)^(AH5-$E$5))</f>
        <v>1029.0682978308041</v>
      </c>
    </row>
    <row r="12" spans="2:34" x14ac:dyDescent="0.2">
      <c r="B12" s="30" t="s">
        <v>157</v>
      </c>
      <c r="C12" s="37">
        <f t="shared" si="24"/>
        <v>15454710.941568572</v>
      </c>
      <c r="E12" s="31">
        <f>'Benefits Estimate'!F8/((1+Discount_1)^(E5-$E$5))</f>
        <v>0</v>
      </c>
      <c r="F12" s="31">
        <f>'Benefits Estimate'!G8/((1+Discount_1)^(F5-$E$5))</f>
        <v>0</v>
      </c>
      <c r="G12" s="31">
        <f>'Benefits Estimate'!H8/((1+Discount_1)^(G5-$E$5))</f>
        <v>0</v>
      </c>
      <c r="H12" s="31">
        <f>'Benefits Estimate'!I8/((1+Discount_1)^(H5-$E$5))</f>
        <v>0</v>
      </c>
      <c r="I12" s="31">
        <f>'Benefits Estimate'!J8/((1+Discount_1)^(I5-$E$5))</f>
        <v>137506.49616517688</v>
      </c>
      <c r="J12" s="31">
        <f>'Benefits Estimate'!K8/((1+Discount_1)^(J5-$E$5))</f>
        <v>257021.48815920908</v>
      </c>
      <c r="K12" s="31">
        <f>'Benefits Estimate'!L8/((1+Discount_1)^(K5-$E$5))</f>
        <v>360310.49741945206</v>
      </c>
      <c r="L12" s="31">
        <f>'Benefits Estimate'!M8/((1+Discount_1)^(L5-$E$5))</f>
        <v>448985.04351333581</v>
      </c>
      <c r="M12" s="31">
        <f>'Benefits Estimate'!N8/((1+Discount_1)^(M5-$E$5))</f>
        <v>524515.23774922383</v>
      </c>
      <c r="N12" s="31">
        <f>'Benefits Estimate'!O8/((1+Discount_1)^(N5-$E$5))</f>
        <v>588241.38812997099</v>
      </c>
      <c r="O12" s="31">
        <f>'Benefits Estimate'!P8/((1+Discount_1)^(O5-$E$5))</f>
        <v>641384.6911074447</v>
      </c>
      <c r="P12" s="31">
        <f>'Benefits Estimate'!Q8/((1+Discount_1)^(P5-$E$5))</f>
        <v>685057.07995454723</v>
      </c>
      <c r="Q12" s="31">
        <f>'Benefits Estimate'!R8/((1+Discount_1)^(Q5-$E$5))</f>
        <v>720270.29434473417</v>
      </c>
      <c r="R12" s="31">
        <f>'Benefits Estimate'!S8/((1+Discount_1)^(R5-$E$5))</f>
        <v>747944.23088757426</v>
      </c>
      <c r="S12" s="31">
        <f>'Benefits Estimate'!T8/((1+Discount_1)^(S5-$E$5))</f>
        <v>768914.62988442241</v>
      </c>
      <c r="T12" s="31">
        <f>'Benefits Estimate'!U8/((1+Discount_1)^(T5-$E$5))</f>
        <v>783940.14941487426</v>
      </c>
      <c r="U12" s="31">
        <f>'Benefits Estimate'!V8/((1+Discount_1)^(U5-$E$5))</f>
        <v>793708.87401817483</v>
      </c>
      <c r="V12" s="31">
        <f>'Benefits Estimate'!W8/((1+Discount_1)^(V5-$E$5))</f>
        <v>798844.3016717789</v>
      </c>
      <c r="W12" s="31">
        <f>'Benefits Estimate'!X8/((1+Discount_1)^(W5-$E$5))</f>
        <v>799910.84947107406</v>
      </c>
      <c r="X12" s="31">
        <f>'Benefits Estimate'!Y8/((1+Discount_1)^(X5-$E$5))</f>
        <v>797418.91536057205</v>
      </c>
      <c r="Y12" s="31">
        <f>'Benefits Estimate'!Z8/((1+Discount_1)^(Y5-$E$5))</f>
        <v>745251.32276688982</v>
      </c>
      <c r="Z12" s="31">
        <f>'Benefits Estimate'!AA8/((1+Discount_1)^(Z5-$E$5))</f>
        <v>696496.56333354185</v>
      </c>
      <c r="AA12" s="31">
        <f>'Benefits Estimate'!AB8/((1+Discount_1)^(AA5-$E$5))</f>
        <v>650931.36760144099</v>
      </c>
      <c r="AB12" s="31">
        <f>'Benefits Estimate'!AC8/((1+Discount_1)^(AB5-$E$5))</f>
        <v>608347.07252471126</v>
      </c>
      <c r="AC12" s="31">
        <f>'Benefits Estimate'!AD8/((1+Discount_1)^(AC5-$E$5))</f>
        <v>568548.66591094504</v>
      </c>
      <c r="AD12" s="31">
        <f>'Benefits Estimate'!AE8/((1+Discount_1)^(AD5-$E$5))</f>
        <v>531353.893374715</v>
      </c>
      <c r="AE12" s="31">
        <f>'Benefits Estimate'!AF8/((1+Discount_1)^(AE5-$E$5))</f>
        <v>496592.42371468694</v>
      </c>
      <c r="AF12" s="31">
        <f>'Benefits Estimate'!AG8/((1+Discount_1)^(AF5-$E$5))</f>
        <v>464105.06889223069</v>
      </c>
      <c r="AG12" s="31">
        <f>'Benefits Estimate'!AH8/((1+Discount_1)^(AG5-$E$5))</f>
        <v>433743.05503946799</v>
      </c>
      <c r="AH12" s="31">
        <f>'Benefits Estimate'!AI8/((1+Discount_1)^(AH5-$E$5))</f>
        <v>405367.34115838131</v>
      </c>
    </row>
    <row r="13" spans="2:34" x14ac:dyDescent="0.2">
      <c r="B13" s="171" t="s">
        <v>351</v>
      </c>
      <c r="C13" s="180">
        <f>C9-C6</f>
        <v>14792966.394313108</v>
      </c>
      <c r="E13" s="180">
        <f>E9-E6</f>
        <v>-21201042.300119191</v>
      </c>
      <c r="F13" s="180">
        <f t="shared" ref="F13:AH13" si="25">F9-F6</f>
        <v>1108887.0503244265</v>
      </c>
      <c r="G13" s="180">
        <f t="shared" si="25"/>
        <v>1273617.8706608021</v>
      </c>
      <c r="H13" s="180">
        <f t="shared" si="25"/>
        <v>1414702.2238337495</v>
      </c>
      <c r="I13" s="180">
        <f t="shared" si="25"/>
        <v>1459658.1072247562</v>
      </c>
      <c r="J13" s="180">
        <f t="shared" si="25"/>
        <v>1496063.883782391</v>
      </c>
      <c r="K13" s="180">
        <f t="shared" si="25"/>
        <v>1515128.9191677088</v>
      </c>
      <c r="L13" s="180">
        <f t="shared" si="25"/>
        <v>1528254.5965490898</v>
      </c>
      <c r="M13" s="180">
        <f t="shared" si="25"/>
        <v>1533178.3714274985</v>
      </c>
      <c r="N13" s="180">
        <f t="shared" si="25"/>
        <v>1533500.8992747921</v>
      </c>
      <c r="O13" s="180">
        <f t="shared" si="25"/>
        <v>1522390.1358434695</v>
      </c>
      <c r="P13" s="180">
        <f t="shared" si="25"/>
        <v>1508426.6544741963</v>
      </c>
      <c r="Q13" s="180">
        <f t="shared" si="25"/>
        <v>1489774.569596743</v>
      </c>
      <c r="R13" s="180">
        <f t="shared" si="25"/>
        <v>1469078.1860823426</v>
      </c>
      <c r="S13" s="180">
        <f t="shared" si="25"/>
        <v>1441029.4654613363</v>
      </c>
      <c r="T13" s="180">
        <f t="shared" si="25"/>
        <v>1412084.8555615228</v>
      </c>
      <c r="U13" s="180">
        <f t="shared" si="25"/>
        <v>1380760.0012580331</v>
      </c>
      <c r="V13" s="180">
        <f t="shared" si="25"/>
        <v>1348993.9433347625</v>
      </c>
      <c r="W13" s="180">
        <f t="shared" si="25"/>
        <v>1312664.0394788114</v>
      </c>
      <c r="X13" s="180">
        <f t="shared" si="25"/>
        <v>1276627.5041528498</v>
      </c>
      <c r="Y13" s="180">
        <f t="shared" si="25"/>
        <v>1193109.8169652803</v>
      </c>
      <c r="Z13" s="180">
        <f t="shared" si="25"/>
        <v>1116203.0908678935</v>
      </c>
      <c r="AA13" s="180">
        <f t="shared" si="25"/>
        <v>1042108.3212204387</v>
      </c>
      <c r="AB13" s="180">
        <f t="shared" si="25"/>
        <v>973933.01048639126</v>
      </c>
      <c r="AC13" s="180">
        <f t="shared" si="25"/>
        <v>910217.76680971147</v>
      </c>
      <c r="AD13" s="180">
        <f t="shared" si="25"/>
        <v>851545.99369576469</v>
      </c>
      <c r="AE13" s="180">
        <f t="shared" si="25"/>
        <v>795019.44869395706</v>
      </c>
      <c r="AF13" s="180">
        <f t="shared" si="25"/>
        <v>743008.83055509999</v>
      </c>
      <c r="AG13" s="180">
        <f t="shared" si="25"/>
        <v>694400.77621971967</v>
      </c>
      <c r="AH13" s="180">
        <f t="shared" si="25"/>
        <v>649640.36142875103</v>
      </c>
    </row>
    <row r="14" spans="2:34" x14ac:dyDescent="0.2">
      <c r="B14" s="171" t="s">
        <v>352</v>
      </c>
      <c r="C14" s="172">
        <f>C9/C6</f>
        <v>1.6945294733084082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</row>
    <row r="15" spans="2:34" x14ac:dyDescent="0.2">
      <c r="B15" s="9"/>
      <c r="E15" s="40"/>
    </row>
    <row r="16" spans="2:34" x14ac:dyDescent="0.2">
      <c r="B16" s="2" t="s">
        <v>180</v>
      </c>
    </row>
    <row r="17" spans="2:34" x14ac:dyDescent="0.2">
      <c r="C17" s="15" t="s">
        <v>145</v>
      </c>
      <c r="E17" s="15">
        <f>Start_Year</f>
        <v>2015</v>
      </c>
      <c r="F17" s="15">
        <f>E17+1</f>
        <v>2016</v>
      </c>
      <c r="G17" s="15">
        <f t="shared" ref="G17:AH17" si="26">F17+1</f>
        <v>2017</v>
      </c>
      <c r="H17" s="15">
        <f t="shared" si="26"/>
        <v>2018</v>
      </c>
      <c r="I17" s="15">
        <f t="shared" si="26"/>
        <v>2019</v>
      </c>
      <c r="J17" s="15">
        <f t="shared" si="26"/>
        <v>2020</v>
      </c>
      <c r="K17" s="15">
        <f t="shared" si="26"/>
        <v>2021</v>
      </c>
      <c r="L17" s="15">
        <f t="shared" si="26"/>
        <v>2022</v>
      </c>
      <c r="M17" s="15">
        <f t="shared" si="26"/>
        <v>2023</v>
      </c>
      <c r="N17" s="15">
        <f t="shared" si="26"/>
        <v>2024</v>
      </c>
      <c r="O17" s="15">
        <f t="shared" si="26"/>
        <v>2025</v>
      </c>
      <c r="P17" s="15">
        <f t="shared" si="26"/>
        <v>2026</v>
      </c>
      <c r="Q17" s="15">
        <f t="shared" si="26"/>
        <v>2027</v>
      </c>
      <c r="R17" s="15">
        <f t="shared" si="26"/>
        <v>2028</v>
      </c>
      <c r="S17" s="15">
        <f t="shared" si="26"/>
        <v>2029</v>
      </c>
      <c r="T17" s="15">
        <f t="shared" si="26"/>
        <v>2030</v>
      </c>
      <c r="U17" s="15">
        <f t="shared" si="26"/>
        <v>2031</v>
      </c>
      <c r="V17" s="15">
        <f t="shared" si="26"/>
        <v>2032</v>
      </c>
      <c r="W17" s="15">
        <f t="shared" si="26"/>
        <v>2033</v>
      </c>
      <c r="X17" s="15">
        <f t="shared" si="26"/>
        <v>2034</v>
      </c>
      <c r="Y17" s="15">
        <f t="shared" si="26"/>
        <v>2035</v>
      </c>
      <c r="Z17" s="15">
        <f t="shared" si="26"/>
        <v>2036</v>
      </c>
      <c r="AA17" s="15">
        <f t="shared" si="26"/>
        <v>2037</v>
      </c>
      <c r="AB17" s="15">
        <f t="shared" si="26"/>
        <v>2038</v>
      </c>
      <c r="AC17" s="15">
        <f t="shared" si="26"/>
        <v>2039</v>
      </c>
      <c r="AD17" s="15">
        <f t="shared" si="26"/>
        <v>2040</v>
      </c>
      <c r="AE17" s="15">
        <f t="shared" si="26"/>
        <v>2041</v>
      </c>
      <c r="AF17" s="15">
        <f t="shared" si="26"/>
        <v>2042</v>
      </c>
      <c r="AG17" s="15">
        <f t="shared" si="26"/>
        <v>2043</v>
      </c>
      <c r="AH17" s="15">
        <f t="shared" si="26"/>
        <v>2044</v>
      </c>
    </row>
    <row r="18" spans="2:34" x14ac:dyDescent="0.2">
      <c r="B18" s="15" t="s">
        <v>148</v>
      </c>
      <c r="C18" s="179">
        <f>SUM(E18:AH18)</f>
        <v>21354549.936838817</v>
      </c>
      <c r="E18" s="32">
        <f>SUM(E19:E20)</f>
        <v>21201042.300119191</v>
      </c>
      <c r="F18" s="32">
        <f t="shared" ref="F18" si="27">SUM(F19:F20)</f>
        <v>7766.9902912621355</v>
      </c>
      <c r="G18" s="32">
        <f t="shared" ref="G18" si="28">SUM(G19:G20)</f>
        <v>7540.7672730700351</v>
      </c>
      <c r="H18" s="32">
        <f t="shared" ref="H18" si="29">SUM(H19:H20)</f>
        <v>7321.1332748252762</v>
      </c>
      <c r="I18" s="32">
        <f t="shared" ref="I18" si="30">SUM(I19:I20)</f>
        <v>7107.896383325512</v>
      </c>
      <c r="J18" s="32">
        <f t="shared" ref="J18" si="31">SUM(J19:J20)</f>
        <v>6900.8702750733128</v>
      </c>
      <c r="K18" s="32">
        <f t="shared" ref="K18" si="32">SUM(K19:K20)</f>
        <v>6699.8740534692352</v>
      </c>
      <c r="L18" s="32">
        <f t="shared" ref="L18" si="33">SUM(L19:L20)</f>
        <v>6504.7320907468302</v>
      </c>
      <c r="M18" s="32">
        <f t="shared" ref="M18" si="34">SUM(M19:M20)</f>
        <v>6315.2738745114866</v>
      </c>
      <c r="N18" s="32">
        <f t="shared" ref="N18" si="35">SUM(N19:N20)</f>
        <v>6131.3338587490152</v>
      </c>
      <c r="O18" s="32">
        <f t="shared" ref="O18" si="36">SUM(O19:O20)</f>
        <v>5952.7513191738017</v>
      </c>
      <c r="P18" s="32">
        <f t="shared" ref="P18" si="37">SUM(P19:P20)</f>
        <v>5779.3702127900988</v>
      </c>
      <c r="Q18" s="32">
        <f t="shared" ref="Q18" si="38">SUM(Q19:Q20)</f>
        <v>5611.039041543786</v>
      </c>
      <c r="R18" s="32">
        <f t="shared" ref="R18" si="39">SUM(R19:R20)</f>
        <v>5447.6107199454236</v>
      </c>
      <c r="S18" s="32">
        <f t="shared" ref="S18" si="40">SUM(S19:S20)</f>
        <v>5288.9424465489537</v>
      </c>
      <c r="T18" s="32">
        <f t="shared" ref="T18" si="41">SUM(T19:T20)</f>
        <v>5134.8955791737417</v>
      </c>
      <c r="U18" s="32">
        <f t="shared" ref="U18" si="42">SUM(U19:U20)</f>
        <v>4985.3355137609151</v>
      </c>
      <c r="V18" s="32">
        <f t="shared" ref="V18" si="43">SUM(V19:V20)</f>
        <v>4840.1315667581703</v>
      </c>
      <c r="W18" s="32">
        <f t="shared" ref="W18" si="44">SUM(W19:W20)</f>
        <v>4699.1568609302622</v>
      </c>
      <c r="X18" s="32">
        <f t="shared" ref="X18" si="45">SUM(X19:X20)</f>
        <v>4562.2882144954001</v>
      </c>
      <c r="Y18" s="32">
        <f t="shared" ref="Y18" si="46">SUM(Y19:Y20)</f>
        <v>4429.4060334906799</v>
      </c>
      <c r="Z18" s="32">
        <f t="shared" ref="Z18" si="47">SUM(Z19:Z20)</f>
        <v>4300.3942072725049</v>
      </c>
      <c r="AA18" s="32">
        <f t="shared" ref="AA18" si="48">SUM(AA19:AA20)</f>
        <v>4175.1400070606842</v>
      </c>
      <c r="AB18" s="32">
        <f t="shared" ref="AB18" si="49">SUM(AB19:AB20)</f>
        <v>4053.5339874375572</v>
      </c>
      <c r="AC18" s="32">
        <f t="shared" ref="AC18" si="50">SUM(AC19:AC20)</f>
        <v>3935.4698907160755</v>
      </c>
      <c r="AD18" s="32">
        <f t="shared" ref="AD18" si="51">SUM(AD19:AD20)</f>
        <v>3820.8445540932771</v>
      </c>
      <c r="AE18" s="32">
        <f t="shared" ref="AE18" si="52">SUM(AE19:AE20)</f>
        <v>3709.5578195080357</v>
      </c>
      <c r="AF18" s="32">
        <f t="shared" ref="AF18" si="53">SUM(AF19:AF20)</f>
        <v>3601.5124461243067</v>
      </c>
      <c r="AG18" s="32">
        <f t="shared" ref="AG18" si="54">SUM(AG19:AG20)</f>
        <v>3496.6140253634048</v>
      </c>
      <c r="AH18" s="32">
        <f t="shared" ref="AH18" si="55">SUM(AH19:AH20)</f>
        <v>3394.7708984110727</v>
      </c>
    </row>
    <row r="19" spans="2:34" x14ac:dyDescent="0.2">
      <c r="B19" s="38" t="s">
        <v>149</v>
      </c>
      <c r="C19" s="37">
        <f t="shared" ref="C19:C20" si="56">SUM(E19:AH19)</f>
        <v>21201042.300119191</v>
      </c>
      <c r="E19" s="31">
        <f>'Cost Estimate'!F6/((1+Discount_2)^(E$17-$E$17))</f>
        <v>21201042.300119191</v>
      </c>
      <c r="F19" s="31">
        <f>'Cost Estimate'!G6/((1+Discount_2)^(F$5-$E$5))</f>
        <v>0</v>
      </c>
      <c r="G19" s="31">
        <f>'Cost Estimate'!H6/((1+Discount_2)^(G$5-$E$5))</f>
        <v>0</v>
      </c>
      <c r="H19" s="31">
        <f>'Cost Estimate'!I6/((1+Discount_2)^(H$5-$E$5))</f>
        <v>0</v>
      </c>
      <c r="I19" s="31">
        <f>'Cost Estimate'!J6/((1+Discount_2)^(I$5-$E$5))</f>
        <v>0</v>
      </c>
      <c r="J19" s="31">
        <f>'Cost Estimate'!K6/((1+Discount_2)^(J$5-$E$5))</f>
        <v>0</v>
      </c>
      <c r="K19" s="31">
        <f>'Cost Estimate'!L6/((1+Discount_2)^(K$5-$E$5))</f>
        <v>0</v>
      </c>
      <c r="L19" s="31">
        <f>'Cost Estimate'!M6/((1+Discount_2)^(L$5-$E$5))</f>
        <v>0</v>
      </c>
      <c r="M19" s="31">
        <f>'Cost Estimate'!N6/((1+Discount_2)^(M$5-$E$5))</f>
        <v>0</v>
      </c>
      <c r="N19" s="31">
        <f>'Cost Estimate'!O6/((1+Discount_2)^(N$5-$E$5))</f>
        <v>0</v>
      </c>
      <c r="O19" s="31">
        <f>'Cost Estimate'!P6/((1+Discount_2)^(O$5-$E$5))</f>
        <v>0</v>
      </c>
      <c r="P19" s="31">
        <f>'Cost Estimate'!Q6/((1+Discount_2)^(P$5-$E$5))</f>
        <v>0</v>
      </c>
      <c r="Q19" s="31">
        <f>'Cost Estimate'!R6/((1+Discount_2)^(Q$5-$E$5))</f>
        <v>0</v>
      </c>
      <c r="R19" s="31">
        <f>'Cost Estimate'!S6/((1+Discount_2)^(R$5-$E$5))</f>
        <v>0</v>
      </c>
      <c r="S19" s="31">
        <f>'Cost Estimate'!T6/((1+Discount_2)^(S$5-$E$5))</f>
        <v>0</v>
      </c>
      <c r="T19" s="31">
        <f>'Cost Estimate'!U6/((1+Discount_2)^(T$5-$E$5))</f>
        <v>0</v>
      </c>
      <c r="U19" s="31">
        <f>'Cost Estimate'!V6/((1+Discount_2)^(U$5-$E$5))</f>
        <v>0</v>
      </c>
      <c r="V19" s="31">
        <f>'Cost Estimate'!W6/((1+Discount_2)^(V$5-$E$5))</f>
        <v>0</v>
      </c>
      <c r="W19" s="31">
        <f>'Cost Estimate'!X6/((1+Discount_2)^(W$5-$E$5))</f>
        <v>0</v>
      </c>
      <c r="X19" s="31">
        <f>'Cost Estimate'!Y6/((1+Discount_2)^(X$5-$E$5))</f>
        <v>0</v>
      </c>
      <c r="Y19" s="31">
        <f>'Cost Estimate'!Z6/((1+Discount_2)^(Y$5-$E$5))</f>
        <v>0</v>
      </c>
      <c r="Z19" s="31">
        <f>'Cost Estimate'!AA6/((1+Discount_2)^(Z$5-$E$5))</f>
        <v>0</v>
      </c>
      <c r="AA19" s="31">
        <f>'Cost Estimate'!AB6/((1+Discount_2)^(AA$5-$E$5))</f>
        <v>0</v>
      </c>
      <c r="AB19" s="31">
        <f>'Cost Estimate'!AC6/((1+Discount_2)^(AB$5-$E$5))</f>
        <v>0</v>
      </c>
      <c r="AC19" s="31">
        <f>'Cost Estimate'!AD6/((1+Discount_2)^(AC$5-$E$5))</f>
        <v>0</v>
      </c>
      <c r="AD19" s="31">
        <f>'Cost Estimate'!AE6/((1+Discount_2)^(AD$5-$E$5))</f>
        <v>0</v>
      </c>
      <c r="AE19" s="31">
        <f>'Cost Estimate'!AF6/((1+Discount_2)^(AE$5-$E$5))</f>
        <v>0</v>
      </c>
      <c r="AF19" s="31">
        <f>'Cost Estimate'!AG6/((1+Discount_2)^(AF$5-$E$5))</f>
        <v>0</v>
      </c>
      <c r="AG19" s="31">
        <f>'Cost Estimate'!AH6/((1+Discount_2)^(AG$5-$E$5))</f>
        <v>0</v>
      </c>
      <c r="AH19" s="31">
        <f>'Cost Estimate'!AI6/((1+Discount_2)^(AH$5-$E$5))</f>
        <v>0</v>
      </c>
    </row>
    <row r="20" spans="2:34" x14ac:dyDescent="0.2">
      <c r="B20" s="38" t="s">
        <v>150</v>
      </c>
      <c r="C20" s="37">
        <f t="shared" si="56"/>
        <v>153507.63671963103</v>
      </c>
      <c r="E20" s="31">
        <f>'Cost Estimate'!F36/((1+Discount_2)^(E$17-$E$17))</f>
        <v>0</v>
      </c>
      <c r="F20" s="31">
        <f>'Cost Estimate'!G36/((1+Discount_2)^(F$17-$E$17))</f>
        <v>7766.9902912621355</v>
      </c>
      <c r="G20" s="31">
        <f>'Cost Estimate'!H36/((1+Discount_2)^(G$17-$E$17))</f>
        <v>7540.7672730700351</v>
      </c>
      <c r="H20" s="31">
        <f>'Cost Estimate'!I36/((1+Discount_2)^(H$17-$E$17))</f>
        <v>7321.1332748252762</v>
      </c>
      <c r="I20" s="31">
        <f>'Cost Estimate'!J36/((1+Discount_2)^(I$17-$E$17))</f>
        <v>7107.896383325512</v>
      </c>
      <c r="J20" s="31">
        <f>'Cost Estimate'!K36/((1+Discount_2)^(J$17-$E$17))</f>
        <v>6900.8702750733128</v>
      </c>
      <c r="K20" s="31">
        <f>'Cost Estimate'!L36/((1+Discount_2)^(K$17-$E$17))</f>
        <v>6699.8740534692352</v>
      </c>
      <c r="L20" s="31">
        <f>'Cost Estimate'!M36/((1+Discount_2)^(L$17-$E$17))</f>
        <v>6504.7320907468302</v>
      </c>
      <c r="M20" s="31">
        <f>'Cost Estimate'!N36/((1+Discount_2)^(M$17-$E$17))</f>
        <v>6315.2738745114866</v>
      </c>
      <c r="N20" s="31">
        <f>'Cost Estimate'!O36/((1+Discount_2)^(N$17-$E$17))</f>
        <v>6131.3338587490152</v>
      </c>
      <c r="O20" s="31">
        <f>'Cost Estimate'!P36/((1+Discount_2)^(O$17-$E$17))</f>
        <v>5952.7513191738017</v>
      </c>
      <c r="P20" s="31">
        <f>'Cost Estimate'!Q36/((1+Discount_2)^(P$17-$E$17))</f>
        <v>5779.3702127900988</v>
      </c>
      <c r="Q20" s="31">
        <f>'Cost Estimate'!R36/((1+Discount_2)^(Q$17-$E$17))</f>
        <v>5611.039041543786</v>
      </c>
      <c r="R20" s="31">
        <f>'Cost Estimate'!S36/((1+Discount_2)^(R$17-$E$17))</f>
        <v>5447.6107199454236</v>
      </c>
      <c r="S20" s="31">
        <f>'Cost Estimate'!T36/((1+Discount_2)^(S$17-$E$17))</f>
        <v>5288.9424465489537</v>
      </c>
      <c r="T20" s="31">
        <f>'Cost Estimate'!U36/((1+Discount_2)^(T$17-$E$17))</f>
        <v>5134.8955791737417</v>
      </c>
      <c r="U20" s="31">
        <f>'Cost Estimate'!V36/((1+Discount_2)^(U$17-$E$17))</f>
        <v>4985.3355137609151</v>
      </c>
      <c r="V20" s="31">
        <f>'Cost Estimate'!W36/((1+Discount_2)^(V$17-$E$17))</f>
        <v>4840.1315667581703</v>
      </c>
      <c r="W20" s="31">
        <f>'Cost Estimate'!X36/((1+Discount_2)^(W$17-$E$17))</f>
        <v>4699.1568609302622</v>
      </c>
      <c r="X20" s="31">
        <f>'Cost Estimate'!Y36/((1+Discount_2)^(X$17-$E$17))</f>
        <v>4562.2882144954001</v>
      </c>
      <c r="Y20" s="31">
        <f>'Cost Estimate'!Z36/((1+Discount_2)^(Y$17-$E$17))</f>
        <v>4429.4060334906799</v>
      </c>
      <c r="Z20" s="31">
        <f>'Cost Estimate'!AA36/((1+Discount_2)^(Z$17-$E$17))</f>
        <v>4300.3942072725049</v>
      </c>
      <c r="AA20" s="31">
        <f>'Cost Estimate'!AB36/((1+Discount_2)^(AA$17-$E$17))</f>
        <v>4175.1400070606842</v>
      </c>
      <c r="AB20" s="31">
        <f>'Cost Estimate'!AC36/((1+Discount_2)^(AB$17-$E$17))</f>
        <v>4053.5339874375572</v>
      </c>
      <c r="AC20" s="31">
        <f>'Cost Estimate'!AD36/((1+Discount_2)^(AC$17-$E$17))</f>
        <v>3935.4698907160755</v>
      </c>
      <c r="AD20" s="31">
        <f>'Cost Estimate'!AE36/((1+Discount_2)^(AD$17-$E$17))</f>
        <v>3820.8445540932771</v>
      </c>
      <c r="AE20" s="31">
        <f>'Cost Estimate'!AF36/((1+Discount_2)^(AE$17-$E$17))</f>
        <v>3709.5578195080357</v>
      </c>
      <c r="AF20" s="31">
        <f>'Cost Estimate'!AG36/((1+Discount_2)^(AF$17-$E$17))</f>
        <v>3601.5124461243067</v>
      </c>
      <c r="AG20" s="31">
        <f>'Cost Estimate'!AH36/((1+Discount_2)^(AG$17-$E$17))</f>
        <v>3496.6140253634048</v>
      </c>
      <c r="AH20" s="31">
        <f>'Cost Estimate'!AI36/((1+Discount_2)^(AH$17-$E$17))</f>
        <v>3394.7708984110727</v>
      </c>
    </row>
    <row r="21" spans="2:34" x14ac:dyDescent="0.2">
      <c r="B21" s="15" t="s">
        <v>151</v>
      </c>
      <c r="C21" s="178">
        <f>SUM(E21:AH21)</f>
        <v>62983291.838525683</v>
      </c>
      <c r="E21" s="32">
        <f>SUM(E22:E24)</f>
        <v>0</v>
      </c>
      <c r="F21" s="32">
        <f t="shared" ref="F21:AH21" si="57">SUM(F22:F24)</f>
        <v>1159717.6153855692</v>
      </c>
      <c r="G21" s="32">
        <f t="shared" si="57"/>
        <v>1382001.2254873714</v>
      </c>
      <c r="H21" s="32">
        <f t="shared" si="57"/>
        <v>1593326.6555983042</v>
      </c>
      <c r="I21" s="32">
        <f t="shared" si="57"/>
        <v>1707062.6243381982</v>
      </c>
      <c r="J21" s="32">
        <f t="shared" si="57"/>
        <v>1816918.911697909</v>
      </c>
      <c r="K21" s="32">
        <f t="shared" si="57"/>
        <v>1910971.5400172449</v>
      </c>
      <c r="L21" s="32">
        <f t="shared" si="57"/>
        <v>2001866.2008327269</v>
      </c>
      <c r="M21" s="32">
        <f t="shared" si="57"/>
        <v>2085844.8804771164</v>
      </c>
      <c r="N21" s="32">
        <f t="shared" si="57"/>
        <v>2166873.8218767215</v>
      </c>
      <c r="O21" s="32">
        <f t="shared" si="57"/>
        <v>2234344.2406098098</v>
      </c>
      <c r="P21" s="32">
        <f t="shared" si="57"/>
        <v>2299477.606992289</v>
      </c>
      <c r="Q21" s="32">
        <f t="shared" si="57"/>
        <v>2358921.3213255778</v>
      </c>
      <c r="R21" s="32">
        <f t="shared" si="57"/>
        <v>2416186.0835161135</v>
      </c>
      <c r="S21" s="32">
        <f t="shared" si="57"/>
        <v>2461833.2565329284</v>
      </c>
      <c r="T21" s="32">
        <f t="shared" si="57"/>
        <v>2505820.4767713132</v>
      </c>
      <c r="U21" s="32">
        <f t="shared" si="57"/>
        <v>2545156.8721047947</v>
      </c>
      <c r="V21" s="32">
        <f t="shared" si="57"/>
        <v>2582949.8765337905</v>
      </c>
      <c r="W21" s="32">
        <f t="shared" si="57"/>
        <v>2610801.948941675</v>
      </c>
      <c r="X21" s="32">
        <f t="shared" si="57"/>
        <v>2637549.2189686322</v>
      </c>
      <c r="Y21" s="32">
        <f t="shared" si="57"/>
        <v>2560727.3970569246</v>
      </c>
      <c r="Z21" s="32">
        <f t="shared" si="57"/>
        <v>2488696.4629993299</v>
      </c>
      <c r="AA21" s="32">
        <f t="shared" si="57"/>
        <v>2413731.1688725841</v>
      </c>
      <c r="AB21" s="32">
        <f t="shared" si="57"/>
        <v>2343428.3192937709</v>
      </c>
      <c r="AC21" s="32">
        <f t="shared" si="57"/>
        <v>2275173.1255279332</v>
      </c>
      <c r="AD21" s="32">
        <f t="shared" si="57"/>
        <v>2211174.5735684913</v>
      </c>
      <c r="AE21" s="32">
        <f t="shared" si="57"/>
        <v>2144568.8806936876</v>
      </c>
      <c r="AF21" s="32">
        <f t="shared" si="57"/>
        <v>2082105.7094113473</v>
      </c>
      <c r="AG21" s="32">
        <f t="shared" si="57"/>
        <v>2021461.8537974246</v>
      </c>
      <c r="AH21" s="32">
        <f t="shared" si="57"/>
        <v>1964599.969296101</v>
      </c>
    </row>
    <row r="22" spans="2:34" x14ac:dyDescent="0.2">
      <c r="B22" s="30" t="s">
        <v>155</v>
      </c>
      <c r="C22" s="37">
        <f t="shared" ref="C22:C24" si="58">SUM(E22:AH22)</f>
        <v>32502233.305877417</v>
      </c>
      <c r="E22" s="31">
        <f>'Benefits Estimate'!F6/((1+Discount_2)^(E$17-$E$17))</f>
        <v>0</v>
      </c>
      <c r="F22" s="31">
        <f>'Benefits Estimate'!G6/((1+Discount_2)^(F$17-$E$17))</f>
        <v>1154854.3689320388</v>
      </c>
      <c r="G22" s="31">
        <f>'Benefits Estimate'!H6/((1+Discount_2)^(G$17-$E$17))</f>
        <v>1376190.0273352815</v>
      </c>
      <c r="H22" s="31">
        <f>'Benefits Estimate'!I6/((1+Discount_2)^(H$17-$E$17))</f>
        <v>1586626.8519035403</v>
      </c>
      <c r="I22" s="31">
        <f>'Benefits Estimate'!J6/((1+Discount_2)^(I$17-$E$17))</f>
        <v>1540414.4193238257</v>
      </c>
      <c r="J22" s="31">
        <f>'Benefits Estimate'!K6/((1+Discount_2)^(J$17-$E$17))</f>
        <v>1499645.3716518693</v>
      </c>
      <c r="K22" s="31">
        <f>'Benefits Estimate'!L6/((1+Discount_2)^(K$17-$E$17))</f>
        <v>1451988.3300252859</v>
      </c>
      <c r="L22" s="31">
        <f>'Benefits Estimate'!M6/((1+Discount_2)^(L$17-$E$17))</f>
        <v>1409697.4077915396</v>
      </c>
      <c r="M22" s="31">
        <f>'Benefits Estimate'!N6/((1+Discount_2)^(M$17-$E$17))</f>
        <v>1368638.2599917862</v>
      </c>
      <c r="N22" s="31">
        <f>'Benefits Estimate'!O6/((1+Discount_2)^(N$17-$E$17))</f>
        <v>1332415.4891793954</v>
      </c>
      <c r="O22" s="31">
        <f>'Benefits Estimate'!P6/((1+Discount_2)^(O$17-$E$17))</f>
        <v>1290072.8249521973</v>
      </c>
      <c r="P22" s="31">
        <f>'Benefits Estimate'!Q6/((1+Discount_2)^(P$17-$E$17))</f>
        <v>1252497.8883031041</v>
      </c>
      <c r="Q22" s="31">
        <f>'Benefits Estimate'!R6/((1+Discount_2)^(Q$17-$E$17))</f>
        <v>1216017.3672845673</v>
      </c>
      <c r="R22" s="31">
        <f>'Benefits Estimate'!S6/((1+Discount_2)^(R$17-$E$17))</f>
        <v>1183833.9045781398</v>
      </c>
      <c r="S22" s="31">
        <f>'Benefits Estimate'!T6/((1+Discount_2)^(S$17-$E$17))</f>
        <v>1146212.9958380312</v>
      </c>
      <c r="T22" s="31">
        <f>'Benefits Estimate'!U6/((1+Discount_2)^(T$17-$E$17))</f>
        <v>1112828.1512990594</v>
      </c>
      <c r="U22" s="31">
        <f>'Benefits Estimate'!V6/((1+Discount_2)^(U$17-$E$17))</f>
        <v>1080415.6808728732</v>
      </c>
      <c r="V22" s="31">
        <f>'Benefits Estimate'!W6/((1+Discount_2)^(V$17-$E$17))</f>
        <v>1051821.0911011349</v>
      </c>
      <c r="W22" s="31">
        <f>'Benefits Estimate'!X6/((1+Discount_2)^(W$17-$E$17))</f>
        <v>1018395.4009547302</v>
      </c>
      <c r="X22" s="31">
        <f>'Benefits Estimate'!Y6/((1+Discount_2)^(X$17-$E$17))</f>
        <v>988733.39898517495</v>
      </c>
      <c r="Y22" s="31">
        <f>'Benefits Estimate'!Z6/((1+Discount_2)^(Y$17-$E$17))</f>
        <v>959935.33882055827</v>
      </c>
      <c r="Z22" s="31">
        <f>'Benefits Estimate'!AA6/((1+Discount_2)^(Z$17-$E$17))</f>
        <v>934529.41616790625</v>
      </c>
      <c r="AA22" s="31">
        <f>'Benefits Estimate'!AB6/((1+Discount_2)^(AA$17-$E$17))</f>
        <v>904831.12340518262</v>
      </c>
      <c r="AB22" s="31">
        <f>'Benefits Estimate'!AC6/((1+Discount_2)^(AB$17-$E$17))</f>
        <v>878476.81883998308</v>
      </c>
      <c r="AC22" s="31">
        <f>'Benefits Estimate'!AD6/((1+Discount_2)^(AC$17-$E$17))</f>
        <v>852890.11537862453</v>
      </c>
      <c r="AD22" s="31">
        <f>'Benefits Estimate'!AE6/((1+Discount_2)^(AD$17-$E$17))</f>
        <v>830317.2821613953</v>
      </c>
      <c r="AE22" s="31">
        <f>'Benefits Estimate'!AF6/((1+Discount_2)^(AE$17-$E$17))</f>
        <v>803930.73369650706</v>
      </c>
      <c r="AF22" s="31">
        <f>'Benefits Estimate'!AG6/((1+Discount_2)^(AF$17-$E$17))</f>
        <v>780515.27543350216</v>
      </c>
      <c r="AG22" s="31">
        <f>'Benefits Estimate'!AH6/((1+Discount_2)^(AG$17-$E$17))</f>
        <v>757781.82080922532</v>
      </c>
      <c r="AH22" s="31">
        <f>'Benefits Estimate'!AI6/((1+Discount_2)^(AH$17-$E$17))</f>
        <v>737726.15086095629</v>
      </c>
    </row>
    <row r="23" spans="2:34" x14ac:dyDescent="0.2">
      <c r="B23" s="30" t="s">
        <v>156</v>
      </c>
      <c r="C23" s="37">
        <f t="shared" si="58"/>
        <v>137145.58318801524</v>
      </c>
      <c r="E23" s="31">
        <f>'Benefits Estimate'!F7/((1+Discount_2)^(E$17-$E$17))</f>
        <v>0</v>
      </c>
      <c r="F23" s="31">
        <f>'Benefits Estimate'!G7/((1+Discount_2)^(F$17-$E$17))</f>
        <v>4863.2464535303543</v>
      </c>
      <c r="G23" s="31">
        <f>'Benefits Estimate'!H7/((1+Discount_2)^(G$17-$E$17))</f>
        <v>5811.1981520900426</v>
      </c>
      <c r="H23" s="31">
        <f>'Benefits Estimate'!I7/((1+Discount_2)^(H$17-$E$17))</f>
        <v>6699.803694764003</v>
      </c>
      <c r="I23" s="31">
        <f>'Benefits Estimate'!J7/((1+Discount_2)^(I$17-$E$17))</f>
        <v>6504.6637813242751</v>
      </c>
      <c r="J23" s="31">
        <f>'Benefits Estimate'!K7/((1+Discount_2)^(J$17-$E$17))</f>
        <v>6315.2075546837623</v>
      </c>
      <c r="K23" s="31">
        <f>'Benefits Estimate'!L7/((1+Discount_2)^(K$17-$E$17))</f>
        <v>6131.2694705667591</v>
      </c>
      <c r="L23" s="31">
        <f>'Benefits Estimate'!M7/((1+Discount_2)^(L$17-$E$17))</f>
        <v>5952.6888063754941</v>
      </c>
      <c r="M23" s="31">
        <f>'Benefits Estimate'!N7/((1+Discount_2)^(M$17-$E$17))</f>
        <v>5779.3095207529077</v>
      </c>
      <c r="N23" s="31">
        <f>'Benefits Estimate'!O7/((1+Discount_2)^(N$17-$E$17))</f>
        <v>5610.9801172358329</v>
      </c>
      <c r="O23" s="31">
        <f>'Benefits Estimate'!P7/((1+Discount_2)^(O$17-$E$17))</f>
        <v>5447.5535118794487</v>
      </c>
      <c r="P23" s="31">
        <f>'Benefits Estimate'!Q7/((1+Discount_2)^(P$17-$E$17))</f>
        <v>5288.8869047373291</v>
      </c>
      <c r="Q23" s="31">
        <f>'Benefits Estimate'!R7/((1+Discount_2)^(Q$17-$E$17))</f>
        <v>5134.841655084786</v>
      </c>
      <c r="R23" s="31">
        <f>'Benefits Estimate'!S7/((1+Discount_2)^(R$17-$E$17))</f>
        <v>4985.2831602764918</v>
      </c>
      <c r="S23" s="31">
        <f>'Benefits Estimate'!T7/((1+Discount_2)^(S$17-$E$17))</f>
        <v>4840.0807381325158</v>
      </c>
      <c r="T23" s="31">
        <f>'Benefits Estimate'!U7/((1+Discount_2)^(T$17-$E$17))</f>
        <v>4699.1075127500153</v>
      </c>
      <c r="U23" s="31">
        <f>'Benefits Estimate'!V7/((1+Discount_2)^(U$17-$E$17))</f>
        <v>4562.2403036407923</v>
      </c>
      <c r="V23" s="31">
        <f>'Benefits Estimate'!W7/((1+Discount_2)^(V$17-$E$17))</f>
        <v>4429.3595180978564</v>
      </c>
      <c r="W23" s="31">
        <f>'Benefits Estimate'!X7/((1+Discount_2)^(W$17-$E$17))</f>
        <v>4300.3490466969479</v>
      </c>
      <c r="X23" s="31">
        <f>'Benefits Estimate'!Y7/((1+Discount_2)^(X$17-$E$17))</f>
        <v>4175.0961618416968</v>
      </c>
      <c r="Y23" s="31">
        <f>'Benefits Estimate'!Z7/((1+Discount_2)^(Y$17-$E$17))</f>
        <v>4053.4914192637834</v>
      </c>
      <c r="Z23" s="31">
        <f>'Benefits Estimate'!AA7/((1+Discount_2)^(Z$17-$E$17))</f>
        <v>3935.4285623920237</v>
      </c>
      <c r="AA23" s="31">
        <f>'Benefits Estimate'!AB7/((1+Discount_2)^(AA$17-$E$17))</f>
        <v>3820.8044295068185</v>
      </c>
      <c r="AB23" s="31">
        <f>'Benefits Estimate'!AC7/((1+Discount_2)^(AB$17-$E$17))</f>
        <v>3709.5188635988529</v>
      </c>
      <c r="AC23" s="31">
        <f>'Benefits Estimate'!AD7/((1+Discount_2)^(AC$17-$E$17))</f>
        <v>3601.4746248532556</v>
      </c>
      <c r="AD23" s="31">
        <f>'Benefits Estimate'!AE7/((1+Discount_2)^(AD$17-$E$17))</f>
        <v>3496.5773056827725</v>
      </c>
      <c r="AE23" s="31">
        <f>'Benefits Estimate'!AF7/((1+Discount_2)^(AE$17-$E$17))</f>
        <v>3394.735248235701</v>
      </c>
      <c r="AF23" s="31">
        <f>'Benefits Estimate'!AG7/((1+Discount_2)^(AF$17-$E$17))</f>
        <v>3295.8594643065062</v>
      </c>
      <c r="AG23" s="31">
        <f>'Benefits Estimate'!AH7/((1+Discount_2)^(AG$17-$E$17))</f>
        <v>3199.8635575791322</v>
      </c>
      <c r="AH23" s="31">
        <f>'Benefits Estimate'!AI7/((1+Discount_2)^(AH$17-$E$17))</f>
        <v>3106.6636481350802</v>
      </c>
    </row>
    <row r="24" spans="2:34" x14ac:dyDescent="0.2">
      <c r="B24" s="30" t="s">
        <v>157</v>
      </c>
      <c r="C24" s="37">
        <f t="shared" si="58"/>
        <v>30343912.949460253</v>
      </c>
      <c r="E24" s="31">
        <f>'Benefits Estimate'!F8/((1+Discount_2)^(E$17-$E$17))</f>
        <v>0</v>
      </c>
      <c r="F24" s="31">
        <f>'Benefits Estimate'!G8/((1+Discount_2)^(F$17-$E$17))</f>
        <v>0</v>
      </c>
      <c r="G24" s="31">
        <f>'Benefits Estimate'!H8/((1+Discount_2)^(G$17-$E$17))</f>
        <v>0</v>
      </c>
      <c r="H24" s="31">
        <f>'Benefits Estimate'!I8/((1+Discount_2)^(H$17-$E$17))</f>
        <v>0</v>
      </c>
      <c r="I24" s="31">
        <f>'Benefits Estimate'!J8/((1+Discount_2)^(I$17-$E$17))</f>
        <v>160143.54123304834</v>
      </c>
      <c r="J24" s="31">
        <f>'Benefits Estimate'!K8/((1+Discount_2)^(J$17-$E$17))</f>
        <v>310958.33249135601</v>
      </c>
      <c r="K24" s="31">
        <f>'Benefits Estimate'!L8/((1+Discount_2)^(K$17-$E$17))</f>
        <v>452851.94052139227</v>
      </c>
      <c r="L24" s="31">
        <f>'Benefits Estimate'!M8/((1+Discount_2)^(L$17-$E$17))</f>
        <v>586216.10423481197</v>
      </c>
      <c r="M24" s="31">
        <f>'Benefits Estimate'!N8/((1+Discount_2)^(M$17-$E$17))</f>
        <v>711427.31096457737</v>
      </c>
      <c r="N24" s="31">
        <f>'Benefits Estimate'!O8/((1+Discount_2)^(N$17-$E$17))</f>
        <v>828847.35258009052</v>
      </c>
      <c r="O24" s="31">
        <f>'Benefits Estimate'!P8/((1+Discount_2)^(O$17-$E$17))</f>
        <v>938823.86214573309</v>
      </c>
      <c r="P24" s="31">
        <f>'Benefits Estimate'!Q8/((1+Discount_2)^(P$17-$E$17))</f>
        <v>1041690.8317844477</v>
      </c>
      <c r="Q24" s="31">
        <f>'Benefits Estimate'!R8/((1+Discount_2)^(Q$17-$E$17))</f>
        <v>1137769.1123859258</v>
      </c>
      <c r="R24" s="31">
        <f>'Benefits Estimate'!S8/((1+Discount_2)^(R$17-$E$17))</f>
        <v>1227366.8957776974</v>
      </c>
      <c r="S24" s="31">
        <f>'Benefits Estimate'!T8/((1+Discount_2)^(S$17-$E$17))</f>
        <v>1310780.1799567647</v>
      </c>
      <c r="T24" s="31">
        <f>'Benefits Estimate'!U8/((1+Discount_2)^(T$17-$E$17))</f>
        <v>1388293.2179595039</v>
      </c>
      <c r="U24" s="31">
        <f>'Benefits Estimate'!V8/((1+Discount_2)^(U$17-$E$17))</f>
        <v>1460178.9509282806</v>
      </c>
      <c r="V24" s="31">
        <f>'Benefits Estimate'!W8/((1+Discount_2)^(V$17-$E$17))</f>
        <v>1526699.4259145574</v>
      </c>
      <c r="W24" s="31">
        <f>'Benefits Estimate'!X8/((1+Discount_2)^(W$17-$E$17))</f>
        <v>1588106.1989402478</v>
      </c>
      <c r="X24" s="31">
        <f>'Benefits Estimate'!Y8/((1+Discount_2)^(X$17-$E$17))</f>
        <v>1644640.7238216156</v>
      </c>
      <c r="Y24" s="31">
        <f>'Benefits Estimate'!Z8/((1+Discount_2)^(Y$17-$E$17))</f>
        <v>1596738.5668171025</v>
      </c>
      <c r="Z24" s="31">
        <f>'Benefits Estimate'!AA8/((1+Discount_2)^(Z$17-$E$17))</f>
        <v>1550231.6182690319</v>
      </c>
      <c r="AA24" s="31">
        <f>'Benefits Estimate'!AB8/((1+Discount_2)^(AA$17-$E$17))</f>
        <v>1505079.2410378947</v>
      </c>
      <c r="AB24" s="31">
        <f>'Benefits Estimate'!AC8/((1+Discount_2)^(AB$17-$E$17))</f>
        <v>1461241.981590189</v>
      </c>
      <c r="AC24" s="31">
        <f>'Benefits Estimate'!AD8/((1+Discount_2)^(AC$17-$E$17))</f>
        <v>1418681.5355244556</v>
      </c>
      <c r="AD24" s="31">
        <f>'Benefits Estimate'!AE8/((1+Discount_2)^(AD$17-$E$17))</f>
        <v>1377360.7141014133</v>
      </c>
      <c r="AE24" s="31">
        <f>'Benefits Estimate'!AF8/((1+Discount_2)^(AE$17-$E$17))</f>
        <v>1337243.4117489448</v>
      </c>
      <c r="AF24" s="31">
        <f>'Benefits Estimate'!AG8/((1+Discount_2)^(AF$17-$E$17))</f>
        <v>1298294.5745135387</v>
      </c>
      <c r="AG24" s="31">
        <f>'Benefits Estimate'!AH8/((1+Discount_2)^(AG$17-$E$17))</f>
        <v>1260480.16943062</v>
      </c>
      <c r="AH24" s="31">
        <f>'Benefits Estimate'!AI8/((1+Discount_2)^(AH$17-$E$17))</f>
        <v>1223767.1547870098</v>
      </c>
    </row>
    <row r="25" spans="2:34" x14ac:dyDescent="0.2">
      <c r="B25" s="169" t="s">
        <v>351</v>
      </c>
      <c r="C25" s="181">
        <f>C21-C18</f>
        <v>41628741.901686862</v>
      </c>
      <c r="E25" s="181">
        <f>E21-E18</f>
        <v>-21201042.300119191</v>
      </c>
      <c r="F25" s="181">
        <f t="shared" ref="F25:AH25" si="59">F21-F18</f>
        <v>1151950.6250943071</v>
      </c>
      <c r="G25" s="181">
        <f t="shared" si="59"/>
        <v>1374460.4582143014</v>
      </c>
      <c r="H25" s="181">
        <f t="shared" si="59"/>
        <v>1586005.5223234789</v>
      </c>
      <c r="I25" s="181">
        <f t="shared" si="59"/>
        <v>1699954.7279548727</v>
      </c>
      <c r="J25" s="181">
        <f t="shared" si="59"/>
        <v>1810018.0414228358</v>
      </c>
      <c r="K25" s="181">
        <f t="shared" si="59"/>
        <v>1904271.6659637757</v>
      </c>
      <c r="L25" s="181">
        <f t="shared" si="59"/>
        <v>1995361.4687419801</v>
      </c>
      <c r="M25" s="181">
        <f t="shared" si="59"/>
        <v>2079529.606602605</v>
      </c>
      <c r="N25" s="181">
        <f t="shared" si="59"/>
        <v>2160742.4880179726</v>
      </c>
      <c r="O25" s="181">
        <f t="shared" si="59"/>
        <v>2228391.489290636</v>
      </c>
      <c r="P25" s="181">
        <f t="shared" si="59"/>
        <v>2293698.2367794989</v>
      </c>
      <c r="Q25" s="181">
        <f t="shared" si="59"/>
        <v>2353310.282284034</v>
      </c>
      <c r="R25" s="181">
        <f t="shared" si="59"/>
        <v>2410738.4727961682</v>
      </c>
      <c r="S25" s="181">
        <f t="shared" si="59"/>
        <v>2456544.3140863795</v>
      </c>
      <c r="T25" s="181">
        <f t="shared" si="59"/>
        <v>2500685.5811921395</v>
      </c>
      <c r="U25" s="181">
        <f t="shared" si="59"/>
        <v>2540171.5365910339</v>
      </c>
      <c r="V25" s="181">
        <f t="shared" si="59"/>
        <v>2578109.7449670322</v>
      </c>
      <c r="W25" s="181">
        <f t="shared" si="59"/>
        <v>2606102.7920807446</v>
      </c>
      <c r="X25" s="181">
        <f t="shared" si="59"/>
        <v>2632986.9307541368</v>
      </c>
      <c r="Y25" s="181">
        <f t="shared" si="59"/>
        <v>2556297.9910234339</v>
      </c>
      <c r="Z25" s="181">
        <f t="shared" si="59"/>
        <v>2484396.0687920572</v>
      </c>
      <c r="AA25" s="181">
        <f t="shared" si="59"/>
        <v>2409556.0288655236</v>
      </c>
      <c r="AB25" s="181">
        <f t="shared" si="59"/>
        <v>2339374.7853063336</v>
      </c>
      <c r="AC25" s="181">
        <f t="shared" si="59"/>
        <v>2271237.6556372172</v>
      </c>
      <c r="AD25" s="181">
        <f t="shared" si="59"/>
        <v>2207353.7290143981</v>
      </c>
      <c r="AE25" s="181">
        <f t="shared" si="59"/>
        <v>2140859.3228741796</v>
      </c>
      <c r="AF25" s="181">
        <f t="shared" si="59"/>
        <v>2078504.1969652229</v>
      </c>
      <c r="AG25" s="181">
        <f t="shared" si="59"/>
        <v>2017965.2397720611</v>
      </c>
      <c r="AH25" s="181">
        <f t="shared" si="59"/>
        <v>1961205.19839769</v>
      </c>
    </row>
    <row r="26" spans="2:34" x14ac:dyDescent="0.2">
      <c r="B26" s="171" t="s">
        <v>352</v>
      </c>
      <c r="C26" s="172">
        <f>C21/C18</f>
        <v>2.9494085347063654</v>
      </c>
    </row>
    <row r="29" spans="2:34" x14ac:dyDescent="0.2">
      <c r="C29" s="1"/>
    </row>
    <row r="30" spans="2:34" x14ac:dyDescent="0.2">
      <c r="C30" s="1"/>
      <c r="E30" s="1"/>
      <c r="G30" s="1"/>
    </row>
    <row r="31" spans="2:34" x14ac:dyDescent="0.2">
      <c r="E31" s="1"/>
      <c r="F31" s="168"/>
      <c r="G31" s="1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</row>
    <row r="32" spans="2:34" x14ac:dyDescent="0.2">
      <c r="E32" s="1"/>
      <c r="F32" s="168"/>
      <c r="G32" s="1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</row>
    <row r="33" spans="3:34" x14ac:dyDescent="0.2">
      <c r="E33" s="1"/>
      <c r="G33" s="1"/>
    </row>
    <row r="34" spans="3:34" x14ac:dyDescent="0.2">
      <c r="E34" s="1"/>
      <c r="G34" s="1"/>
    </row>
    <row r="35" spans="3:34" x14ac:dyDescent="0.2">
      <c r="C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3:34" x14ac:dyDescent="0.2">
      <c r="C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3:34" x14ac:dyDescent="0.2">
      <c r="E37" s="1"/>
      <c r="G37" s="1"/>
    </row>
    <row r="38" spans="3:34" x14ac:dyDescent="0.2">
      <c r="C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3:34" x14ac:dyDescent="0.2">
      <c r="C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3:34" x14ac:dyDescent="0.2">
      <c r="E40" s="1"/>
      <c r="G40" s="1"/>
    </row>
    <row r="41" spans="3:34" x14ac:dyDescent="0.2">
      <c r="E41" s="1"/>
      <c r="G41" s="1"/>
    </row>
    <row r="42" spans="3:34" x14ac:dyDescent="0.2">
      <c r="E42" s="1"/>
      <c r="G42" s="1"/>
    </row>
    <row r="43" spans="3:34" x14ac:dyDescent="0.2">
      <c r="E43" s="1"/>
      <c r="G43" s="1"/>
    </row>
    <row r="44" spans="3:34" x14ac:dyDescent="0.2">
      <c r="E44" s="1"/>
      <c r="G44" s="1"/>
    </row>
    <row r="45" spans="3:34" x14ac:dyDescent="0.2">
      <c r="E45" s="1"/>
      <c r="G45" s="1"/>
    </row>
    <row r="46" spans="3:34" x14ac:dyDescent="0.2">
      <c r="E46" s="1"/>
      <c r="G46" s="1"/>
    </row>
    <row r="47" spans="3:34" x14ac:dyDescent="0.2">
      <c r="E47" s="1"/>
      <c r="G47" s="1"/>
    </row>
    <row r="48" spans="3:34" x14ac:dyDescent="0.2">
      <c r="E48" s="1"/>
      <c r="G48" s="1"/>
    </row>
    <row r="49" spans="5:7" x14ac:dyDescent="0.2">
      <c r="E49" s="1"/>
      <c r="G49" s="1"/>
    </row>
    <row r="50" spans="5:7" x14ac:dyDescent="0.2">
      <c r="E50" s="1"/>
      <c r="G50" s="1"/>
    </row>
    <row r="51" spans="5:7" x14ac:dyDescent="0.2">
      <c r="E51" s="1"/>
      <c r="G51" s="1"/>
    </row>
    <row r="52" spans="5:7" x14ac:dyDescent="0.2">
      <c r="E52" s="1"/>
      <c r="G52" s="1"/>
    </row>
    <row r="53" spans="5:7" x14ac:dyDescent="0.2">
      <c r="E53" s="1"/>
      <c r="G53" s="1"/>
    </row>
    <row r="54" spans="5:7" x14ac:dyDescent="0.2">
      <c r="E54" s="1"/>
      <c r="G54" s="1"/>
    </row>
    <row r="55" spans="5:7" x14ac:dyDescent="0.2">
      <c r="E55" s="1"/>
      <c r="G55" s="1"/>
    </row>
    <row r="56" spans="5:7" x14ac:dyDescent="0.2">
      <c r="E56" s="1"/>
      <c r="G56" s="1"/>
    </row>
    <row r="57" spans="5:7" x14ac:dyDescent="0.2">
      <c r="E57" s="1"/>
      <c r="G57" s="1"/>
    </row>
    <row r="58" spans="5:7" x14ac:dyDescent="0.2">
      <c r="E58" s="1"/>
      <c r="G58" s="1"/>
    </row>
    <row r="59" spans="5:7" x14ac:dyDescent="0.2">
      <c r="E59" s="1"/>
      <c r="G5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I40"/>
  <sheetViews>
    <sheetView showGridLines="0" zoomScale="80" zoomScaleNormal="80" workbookViewId="0"/>
  </sheetViews>
  <sheetFormatPr defaultRowHeight="12.75" x14ac:dyDescent="0.2"/>
  <cols>
    <col min="1" max="1" width="1.7109375" customWidth="1"/>
    <col min="2" max="2" width="3.5703125" customWidth="1"/>
    <col min="3" max="3" width="73.5703125" bestFit="1" customWidth="1"/>
    <col min="4" max="4" width="13" bestFit="1" customWidth="1"/>
    <col min="5" max="5" width="1.7109375" customWidth="1"/>
    <col min="6" max="6" width="10" bestFit="1" customWidth="1"/>
    <col min="7" max="35" width="10.85546875" bestFit="1" customWidth="1"/>
  </cols>
  <sheetData>
    <row r="1" spans="2:35" ht="5.0999999999999996" customHeight="1" x14ac:dyDescent="0.2"/>
    <row r="2" spans="2:35" x14ac:dyDescent="0.2">
      <c r="B2" s="2" t="s">
        <v>158</v>
      </c>
    </row>
    <row r="3" spans="2:35" x14ac:dyDescent="0.2">
      <c r="B3" t="s">
        <v>159</v>
      </c>
    </row>
    <row r="4" spans="2:35" x14ac:dyDescent="0.2">
      <c r="F4" s="15">
        <f>Start_Year</f>
        <v>2015</v>
      </c>
      <c r="G4" s="15">
        <f>F4+1</f>
        <v>2016</v>
      </c>
      <c r="H4" s="15">
        <f t="shared" ref="H4:AI4" si="0">G4+1</f>
        <v>2017</v>
      </c>
      <c r="I4" s="15">
        <f t="shared" si="0"/>
        <v>2018</v>
      </c>
      <c r="J4" s="15">
        <f t="shared" si="0"/>
        <v>2019</v>
      </c>
      <c r="K4" s="15">
        <f t="shared" si="0"/>
        <v>2020</v>
      </c>
      <c r="L4" s="15">
        <f t="shared" si="0"/>
        <v>2021</v>
      </c>
      <c r="M4" s="15">
        <f t="shared" si="0"/>
        <v>2022</v>
      </c>
      <c r="N4" s="15">
        <f t="shared" si="0"/>
        <v>2023</v>
      </c>
      <c r="O4" s="15">
        <f t="shared" si="0"/>
        <v>2024</v>
      </c>
      <c r="P4" s="15">
        <f t="shared" si="0"/>
        <v>2025</v>
      </c>
      <c r="Q4" s="15">
        <f t="shared" si="0"/>
        <v>2026</v>
      </c>
      <c r="R4" s="15">
        <f t="shared" si="0"/>
        <v>2027</v>
      </c>
      <c r="S4" s="15">
        <f t="shared" si="0"/>
        <v>2028</v>
      </c>
      <c r="T4" s="15">
        <f t="shared" si="0"/>
        <v>2029</v>
      </c>
      <c r="U4" s="15">
        <f t="shared" si="0"/>
        <v>2030</v>
      </c>
      <c r="V4" s="15">
        <f t="shared" si="0"/>
        <v>2031</v>
      </c>
      <c r="W4" s="15">
        <f t="shared" si="0"/>
        <v>2032</v>
      </c>
      <c r="X4" s="15">
        <f t="shared" si="0"/>
        <v>2033</v>
      </c>
      <c r="Y4" s="15">
        <f t="shared" si="0"/>
        <v>2034</v>
      </c>
      <c r="Z4" s="15">
        <f t="shared" si="0"/>
        <v>2035</v>
      </c>
      <c r="AA4" s="15">
        <f t="shared" si="0"/>
        <v>2036</v>
      </c>
      <c r="AB4" s="15">
        <f t="shared" si="0"/>
        <v>2037</v>
      </c>
      <c r="AC4" s="15">
        <f t="shared" si="0"/>
        <v>2038</v>
      </c>
      <c r="AD4" s="15">
        <f t="shared" si="0"/>
        <v>2039</v>
      </c>
      <c r="AE4" s="15">
        <f t="shared" si="0"/>
        <v>2040</v>
      </c>
      <c r="AF4" s="15">
        <f t="shared" si="0"/>
        <v>2041</v>
      </c>
      <c r="AG4" s="15">
        <f t="shared" si="0"/>
        <v>2042</v>
      </c>
      <c r="AH4" s="15">
        <f t="shared" si="0"/>
        <v>2043</v>
      </c>
      <c r="AI4" s="15">
        <f t="shared" si="0"/>
        <v>2044</v>
      </c>
    </row>
    <row r="5" spans="2:35" x14ac:dyDescent="0.2">
      <c r="C5" s="15" t="s">
        <v>145</v>
      </c>
      <c r="D5" s="32">
        <f>SUM(F5:AI5)</f>
        <v>103054760.85717848</v>
      </c>
      <c r="E5" s="2"/>
      <c r="F5" s="32">
        <f>SUM(F6:F8)</f>
        <v>0</v>
      </c>
      <c r="G5" s="32">
        <f t="shared" ref="G5:AI5" si="1">SUM(G6:G8)</f>
        <v>1194509.1438471363</v>
      </c>
      <c r="H5" s="32">
        <f t="shared" si="1"/>
        <v>1466165.1001195523</v>
      </c>
      <c r="I5" s="32">
        <f t="shared" si="1"/>
        <v>1741071.0563919684</v>
      </c>
      <c r="J5" s="32">
        <f t="shared" si="1"/>
        <v>1921314.0229143626</v>
      </c>
      <c r="K5" s="32">
        <f t="shared" si="1"/>
        <v>2106306.9894367568</v>
      </c>
      <c r="L5" s="32">
        <f t="shared" si="1"/>
        <v>2281799.955959151</v>
      </c>
      <c r="M5" s="32">
        <f t="shared" si="1"/>
        <v>2462042.9224815452</v>
      </c>
      <c r="N5" s="32">
        <f t="shared" si="1"/>
        <v>2642285.889003939</v>
      </c>
      <c r="O5" s="32">
        <f t="shared" si="1"/>
        <v>2827278.8555263337</v>
      </c>
      <c r="P5" s="32">
        <f t="shared" si="1"/>
        <v>3002771.822048727</v>
      </c>
      <c r="Q5" s="32">
        <f t="shared" si="1"/>
        <v>3183014.7885711216</v>
      </c>
      <c r="R5" s="32">
        <f t="shared" si="1"/>
        <v>3363257.7550935154</v>
      </c>
      <c r="S5" s="32">
        <f t="shared" si="1"/>
        <v>3548250.7216159091</v>
      </c>
      <c r="T5" s="32">
        <f t="shared" si="1"/>
        <v>3723743.6881383038</v>
      </c>
      <c r="U5" s="32">
        <f t="shared" si="1"/>
        <v>3903986.6546606985</v>
      </c>
      <c r="V5" s="32">
        <f t="shared" si="1"/>
        <v>4084229.6211830922</v>
      </c>
      <c r="W5" s="32">
        <f t="shared" si="1"/>
        <v>4269222.5877054855</v>
      </c>
      <c r="X5" s="32">
        <f t="shared" si="1"/>
        <v>4444715.5542278811</v>
      </c>
      <c r="Y5" s="32">
        <f t="shared" si="1"/>
        <v>4624958.5207502749</v>
      </c>
      <c r="Z5" s="32">
        <f t="shared" si="1"/>
        <v>4624958.5207502749</v>
      </c>
      <c r="AA5" s="32">
        <f t="shared" si="1"/>
        <v>4629708.5207502749</v>
      </c>
      <c r="AB5" s="32">
        <f t="shared" si="1"/>
        <v>4624958.5207502749</v>
      </c>
      <c r="AC5" s="32">
        <f t="shared" si="1"/>
        <v>4624958.5207502749</v>
      </c>
      <c r="AD5" s="32">
        <f t="shared" si="1"/>
        <v>4624958.5207502749</v>
      </c>
      <c r="AE5" s="32">
        <f t="shared" si="1"/>
        <v>4629708.5207502749</v>
      </c>
      <c r="AF5" s="32">
        <f t="shared" si="1"/>
        <v>4624958.5207502749</v>
      </c>
      <c r="AG5" s="32">
        <f t="shared" si="1"/>
        <v>4624958.5207502749</v>
      </c>
      <c r="AH5" s="32">
        <f t="shared" si="1"/>
        <v>4624958.5207502749</v>
      </c>
      <c r="AI5" s="32">
        <f t="shared" si="1"/>
        <v>4629708.5207502749</v>
      </c>
    </row>
    <row r="6" spans="2:35" x14ac:dyDescent="0.2">
      <c r="B6" s="42" t="s">
        <v>93</v>
      </c>
      <c r="C6" s="41" t="s">
        <v>155</v>
      </c>
      <c r="D6" s="26">
        <f t="shared" ref="D6:D8" si="2">SUM(F6:AI6)</f>
        <v>49494000</v>
      </c>
      <c r="E6" s="36"/>
      <c r="F6" s="26">
        <f>Parameters!J355</f>
        <v>0</v>
      </c>
      <c r="G6" s="26">
        <f>Parameters!K355</f>
        <v>1189500</v>
      </c>
      <c r="H6" s="26">
        <f>Parameters!L355</f>
        <v>1460000</v>
      </c>
      <c r="I6" s="26">
        <f>Parameters!M355</f>
        <v>1733750</v>
      </c>
      <c r="J6" s="26">
        <f>Parameters!N355</f>
        <v>1733750</v>
      </c>
      <c r="K6" s="26">
        <f>Parameters!O355</f>
        <v>1738500</v>
      </c>
      <c r="L6" s="26">
        <f>Parameters!P355</f>
        <v>1733750</v>
      </c>
      <c r="M6" s="26">
        <f>Parameters!Q355</f>
        <v>1733750</v>
      </c>
      <c r="N6" s="26">
        <f>Parameters!R355</f>
        <v>1733750</v>
      </c>
      <c r="O6" s="26">
        <f>Parameters!S355</f>
        <v>1738500</v>
      </c>
      <c r="P6" s="26">
        <f>Parameters!T355</f>
        <v>1733750</v>
      </c>
      <c r="Q6" s="26">
        <f>Parameters!U355</f>
        <v>1733750</v>
      </c>
      <c r="R6" s="26">
        <f>Parameters!V355</f>
        <v>1733750</v>
      </c>
      <c r="S6" s="26">
        <f>Parameters!W355</f>
        <v>1738500</v>
      </c>
      <c r="T6" s="26">
        <f>Parameters!X355</f>
        <v>1733750</v>
      </c>
      <c r="U6" s="26">
        <f>Parameters!Y355</f>
        <v>1733750</v>
      </c>
      <c r="V6" s="26">
        <f>Parameters!Z355</f>
        <v>1733750</v>
      </c>
      <c r="W6" s="26">
        <f>Parameters!AA355</f>
        <v>1738500</v>
      </c>
      <c r="X6" s="26">
        <f>Parameters!AB355</f>
        <v>1733750</v>
      </c>
      <c r="Y6" s="26">
        <f>Parameters!AC355</f>
        <v>1733750</v>
      </c>
      <c r="Z6" s="26">
        <f>Parameters!AD355</f>
        <v>1733750</v>
      </c>
      <c r="AA6" s="26">
        <f>Parameters!AE355</f>
        <v>1738500</v>
      </c>
      <c r="AB6" s="26">
        <f>Parameters!AF355</f>
        <v>1733750</v>
      </c>
      <c r="AC6" s="26">
        <f>Parameters!AG355</f>
        <v>1733750</v>
      </c>
      <c r="AD6" s="26">
        <f>Parameters!AH355</f>
        <v>1733750</v>
      </c>
      <c r="AE6" s="26">
        <f>Parameters!AI355</f>
        <v>1738500</v>
      </c>
      <c r="AF6" s="26">
        <f>Parameters!AJ355</f>
        <v>1733750</v>
      </c>
      <c r="AG6" s="26">
        <f>Parameters!AK355</f>
        <v>1733750</v>
      </c>
      <c r="AH6" s="26">
        <f>Parameters!AL355</f>
        <v>1733750</v>
      </c>
      <c r="AI6" s="26">
        <f>Parameters!AM355</f>
        <v>1738500</v>
      </c>
    </row>
    <row r="7" spans="2:35" x14ac:dyDescent="0.2">
      <c r="B7" s="42" t="s">
        <v>110</v>
      </c>
      <c r="C7" s="41" t="s">
        <v>156</v>
      </c>
      <c r="D7" s="26">
        <f t="shared" si="2"/>
        <v>208842.7665498351</v>
      </c>
      <c r="E7" s="36"/>
      <c r="F7" s="26">
        <f>Parameters!H430</f>
        <v>0</v>
      </c>
      <c r="G7" s="26">
        <f>Parameters!I430</f>
        <v>5009.1438471362653</v>
      </c>
      <c r="H7" s="26">
        <f>Parameters!J430</f>
        <v>6165.1001195523259</v>
      </c>
      <c r="I7" s="26">
        <f>Parameters!K430</f>
        <v>7321.0563919683846</v>
      </c>
      <c r="J7" s="26">
        <f>Parameters!L430</f>
        <v>7321.0563919683846</v>
      </c>
      <c r="K7" s="26">
        <f>Parameters!M430</f>
        <v>7321.0563919683846</v>
      </c>
      <c r="L7" s="26">
        <f>Parameters!N430</f>
        <v>7321.0563919683846</v>
      </c>
      <c r="M7" s="26">
        <f>Parameters!O430</f>
        <v>7321.0563919683846</v>
      </c>
      <c r="N7" s="26">
        <f>Parameters!P430</f>
        <v>7321.0563919683846</v>
      </c>
      <c r="O7" s="26">
        <f>Parameters!Q430</f>
        <v>7321.0563919683846</v>
      </c>
      <c r="P7" s="26">
        <f>Parameters!R430</f>
        <v>7321.0563919683846</v>
      </c>
      <c r="Q7" s="26">
        <f>Parameters!S430</f>
        <v>7321.0563919683846</v>
      </c>
      <c r="R7" s="26">
        <f>Parameters!T430</f>
        <v>7321.0563919683846</v>
      </c>
      <c r="S7" s="26">
        <f>Parameters!U430</f>
        <v>7321.0563919683846</v>
      </c>
      <c r="T7" s="26">
        <f>Parameters!V430</f>
        <v>7321.0563919683846</v>
      </c>
      <c r="U7" s="26">
        <f>Parameters!W430</f>
        <v>7321.0563919683846</v>
      </c>
      <c r="V7" s="26">
        <f>Parameters!X430</f>
        <v>7321.0563919683846</v>
      </c>
      <c r="W7" s="26">
        <f>Parameters!Y430</f>
        <v>7321.0563919683846</v>
      </c>
      <c r="X7" s="26">
        <f>Parameters!Z430</f>
        <v>7321.0563919683846</v>
      </c>
      <c r="Y7" s="26">
        <f>Parameters!AA430</f>
        <v>7321.0563919683846</v>
      </c>
      <c r="Z7" s="26">
        <f>Parameters!AB430</f>
        <v>7321.0563919683846</v>
      </c>
      <c r="AA7" s="26">
        <f>Parameters!AC430</f>
        <v>7321.0563919683846</v>
      </c>
      <c r="AB7" s="26">
        <f>Parameters!AD430</f>
        <v>7321.0563919683846</v>
      </c>
      <c r="AC7" s="26">
        <f>Parameters!AE430</f>
        <v>7321.0563919683846</v>
      </c>
      <c r="AD7" s="26">
        <f>Parameters!AF430</f>
        <v>7321.0563919683846</v>
      </c>
      <c r="AE7" s="26">
        <f>Parameters!AG430</f>
        <v>7321.0563919683846</v>
      </c>
      <c r="AF7" s="26">
        <f>Parameters!AH430</f>
        <v>7321.0563919683846</v>
      </c>
      <c r="AG7" s="26">
        <f>Parameters!AI430</f>
        <v>7321.0563919683846</v>
      </c>
      <c r="AH7" s="26">
        <f>Parameters!AJ430</f>
        <v>7321.0563919683846</v>
      </c>
      <c r="AI7" s="26">
        <f>Parameters!AK430</f>
        <v>7321.0563919683846</v>
      </c>
    </row>
    <row r="8" spans="2:35" x14ac:dyDescent="0.2">
      <c r="B8" s="42" t="s">
        <v>179</v>
      </c>
      <c r="C8" s="41" t="s">
        <v>157</v>
      </c>
      <c r="D8" s="26">
        <f t="shared" si="2"/>
        <v>53351918.090628676</v>
      </c>
      <c r="E8" s="36"/>
      <c r="F8" s="26">
        <f t="array" ref="F8:AI8">TRANSPOSE(Parameters!Y479:Y508)</f>
        <v>0</v>
      </c>
      <c r="G8" s="26">
        <v>0</v>
      </c>
      <c r="H8" s="26">
        <v>0</v>
      </c>
      <c r="I8" s="26">
        <v>0</v>
      </c>
      <c r="J8" s="26">
        <v>180242.96652239416</v>
      </c>
      <c r="K8" s="26">
        <v>360485.93304478831</v>
      </c>
      <c r="L8" s="26">
        <v>540728.89956718253</v>
      </c>
      <c r="M8" s="26">
        <v>720971.86608957662</v>
      </c>
      <c r="N8" s="26">
        <v>901214.83261197037</v>
      </c>
      <c r="O8" s="26">
        <v>1081457.7991343651</v>
      </c>
      <c r="P8" s="26">
        <v>1261700.7656567586</v>
      </c>
      <c r="Q8" s="26">
        <v>1441943.7321791532</v>
      </c>
      <c r="R8" s="26">
        <v>1622186.698701547</v>
      </c>
      <c r="S8" s="26">
        <v>1802429.6652239407</v>
      </c>
      <c r="T8" s="26">
        <v>1982672.6317463354</v>
      </c>
      <c r="U8" s="26">
        <v>2162915.5982687301</v>
      </c>
      <c r="V8" s="26">
        <v>2343158.5647911238</v>
      </c>
      <c r="W8" s="26">
        <v>2523401.5313135171</v>
      </c>
      <c r="X8" s="26">
        <v>2703644.4978359127</v>
      </c>
      <c r="Y8" s="26">
        <v>2883887.4643583065</v>
      </c>
      <c r="Z8" s="26">
        <v>2883887.4643583065</v>
      </c>
      <c r="AA8" s="26">
        <v>2883887.4643583065</v>
      </c>
      <c r="AB8" s="26">
        <v>2883887.4643583065</v>
      </c>
      <c r="AC8" s="26">
        <v>2883887.4643583065</v>
      </c>
      <c r="AD8" s="26">
        <v>2883887.4643583065</v>
      </c>
      <c r="AE8" s="26">
        <v>2883887.4643583065</v>
      </c>
      <c r="AF8" s="26">
        <v>2883887.4643583065</v>
      </c>
      <c r="AG8" s="26">
        <v>2883887.4643583065</v>
      </c>
      <c r="AH8" s="26">
        <v>2883887.4643583065</v>
      </c>
      <c r="AI8" s="26">
        <v>2883887.4643583065</v>
      </c>
    </row>
    <row r="11" spans="2:35" x14ac:dyDescent="0.2">
      <c r="F11" s="1"/>
      <c r="G11" s="1"/>
      <c r="H11" s="1"/>
    </row>
    <row r="12" spans="2:35" x14ac:dyDescent="0.2">
      <c r="F12" s="1"/>
      <c r="G12" s="1"/>
      <c r="H12" s="1"/>
    </row>
    <row r="13" spans="2:35" x14ac:dyDescent="0.2">
      <c r="F13" s="1"/>
      <c r="G13" s="1"/>
      <c r="H13" s="1"/>
    </row>
    <row r="14" spans="2:35" x14ac:dyDescent="0.2">
      <c r="F14" s="1"/>
      <c r="G14" s="1"/>
      <c r="H14" s="1"/>
    </row>
    <row r="15" spans="2:35" x14ac:dyDescent="0.2">
      <c r="F15" s="1"/>
      <c r="G15" s="1"/>
      <c r="H15" s="1"/>
    </row>
    <row r="16" spans="2:35" x14ac:dyDescent="0.2">
      <c r="F16" s="1"/>
      <c r="G16" s="1"/>
      <c r="H16" s="1"/>
    </row>
    <row r="17" spans="6:8" x14ac:dyDescent="0.2">
      <c r="F17" s="1"/>
      <c r="G17" s="1"/>
      <c r="H17" s="1"/>
    </row>
    <row r="18" spans="6:8" x14ac:dyDescent="0.2">
      <c r="F18" s="1"/>
      <c r="G18" s="1"/>
      <c r="H18" s="1"/>
    </row>
    <row r="19" spans="6:8" x14ac:dyDescent="0.2">
      <c r="F19" s="1"/>
      <c r="G19" s="1"/>
      <c r="H19" s="1"/>
    </row>
    <row r="20" spans="6:8" x14ac:dyDescent="0.2">
      <c r="F20" s="1"/>
      <c r="G20" s="1"/>
      <c r="H20" s="1"/>
    </row>
    <row r="21" spans="6:8" x14ac:dyDescent="0.2">
      <c r="F21" s="1"/>
      <c r="G21" s="1"/>
      <c r="H21" s="1"/>
    </row>
    <row r="22" spans="6:8" x14ac:dyDescent="0.2">
      <c r="F22" s="1"/>
      <c r="G22" s="1"/>
      <c r="H22" s="1"/>
    </row>
    <row r="23" spans="6:8" x14ac:dyDescent="0.2">
      <c r="F23" s="1"/>
      <c r="G23" s="1"/>
      <c r="H23" s="1"/>
    </row>
    <row r="24" spans="6:8" x14ac:dyDescent="0.2">
      <c r="F24" s="1"/>
      <c r="G24" s="1"/>
      <c r="H24" s="1"/>
    </row>
    <row r="25" spans="6:8" x14ac:dyDescent="0.2">
      <c r="F25" s="1"/>
      <c r="G25" s="1"/>
      <c r="H25" s="1"/>
    </row>
    <row r="26" spans="6:8" x14ac:dyDescent="0.2">
      <c r="F26" s="1"/>
      <c r="G26" s="1"/>
      <c r="H26" s="1"/>
    </row>
    <row r="27" spans="6:8" x14ac:dyDescent="0.2">
      <c r="F27" s="1"/>
      <c r="G27" s="1"/>
      <c r="H27" s="1"/>
    </row>
    <row r="28" spans="6:8" x14ac:dyDescent="0.2">
      <c r="F28" s="1"/>
      <c r="G28" s="1"/>
      <c r="H28" s="1"/>
    </row>
    <row r="29" spans="6:8" x14ac:dyDescent="0.2">
      <c r="F29" s="1"/>
      <c r="G29" s="1"/>
      <c r="H29" s="1"/>
    </row>
    <row r="30" spans="6:8" x14ac:dyDescent="0.2">
      <c r="F30" s="1"/>
      <c r="G30" s="1"/>
      <c r="H30" s="1"/>
    </row>
    <row r="31" spans="6:8" x14ac:dyDescent="0.2">
      <c r="F31" s="1"/>
      <c r="G31" s="1"/>
      <c r="H31" s="1"/>
    </row>
    <row r="32" spans="6:8" x14ac:dyDescent="0.2">
      <c r="F32" s="1"/>
      <c r="G32" s="1"/>
      <c r="H32" s="1"/>
    </row>
    <row r="33" spans="6:8" x14ac:dyDescent="0.2">
      <c r="F33" s="1"/>
      <c r="G33" s="1"/>
      <c r="H33" s="1"/>
    </row>
    <row r="34" spans="6:8" x14ac:dyDescent="0.2">
      <c r="F34" s="1"/>
      <c r="G34" s="1"/>
      <c r="H34" s="1"/>
    </row>
    <row r="35" spans="6:8" x14ac:dyDescent="0.2">
      <c r="F35" s="1"/>
      <c r="G35" s="1"/>
      <c r="H35" s="1"/>
    </row>
    <row r="36" spans="6:8" x14ac:dyDescent="0.2">
      <c r="F36" s="1"/>
      <c r="G36" s="1"/>
      <c r="H36" s="1"/>
    </row>
    <row r="37" spans="6:8" x14ac:dyDescent="0.2">
      <c r="F37" s="1"/>
      <c r="G37" s="1"/>
      <c r="H37" s="1"/>
    </row>
    <row r="38" spans="6:8" x14ac:dyDescent="0.2">
      <c r="F38" s="1"/>
      <c r="G38" s="1"/>
      <c r="H38" s="1"/>
    </row>
    <row r="39" spans="6:8" x14ac:dyDescent="0.2">
      <c r="F39" s="1"/>
      <c r="G39" s="1"/>
      <c r="H39" s="1"/>
    </row>
    <row r="40" spans="6:8" x14ac:dyDescent="0.2">
      <c r="F40" s="1"/>
      <c r="G40" s="1"/>
      <c r="H40" s="1"/>
    </row>
  </sheetData>
  <pageMargins left="0.7" right="0.7" top="0.75" bottom="0.75" header="0.3" footer="0.3"/>
  <ignoredErrors>
    <ignoredError sqref="B6:B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I37"/>
  <sheetViews>
    <sheetView showGridLines="0" zoomScale="80" zoomScaleNormal="80" workbookViewId="0">
      <selection activeCell="C36" sqref="C36"/>
    </sheetView>
  </sheetViews>
  <sheetFormatPr defaultRowHeight="12.75" x14ac:dyDescent="0.2"/>
  <cols>
    <col min="1" max="1" width="1.7109375" customWidth="1"/>
    <col min="3" max="3" width="44.42578125" bestFit="1" customWidth="1"/>
    <col min="4" max="4" width="12.7109375" bestFit="1" customWidth="1"/>
    <col min="5" max="5" width="1.7109375" customWidth="1"/>
    <col min="6" max="6" width="12.7109375" bestFit="1" customWidth="1"/>
  </cols>
  <sheetData>
    <row r="1" spans="2:35" ht="5.0999999999999996" customHeight="1" x14ac:dyDescent="0.2"/>
    <row r="2" spans="2:35" x14ac:dyDescent="0.2">
      <c r="B2" s="2" t="s">
        <v>140</v>
      </c>
    </row>
    <row r="3" spans="2:35" x14ac:dyDescent="0.2">
      <c r="B3" t="s">
        <v>141</v>
      </c>
    </row>
    <row r="4" spans="2:35" x14ac:dyDescent="0.2">
      <c r="F4" s="15">
        <f>Start_Year</f>
        <v>2015</v>
      </c>
      <c r="G4" s="15">
        <f>F4+1</f>
        <v>2016</v>
      </c>
      <c r="H4" s="15">
        <f t="shared" ref="H4:AI4" si="0">G4+1</f>
        <v>2017</v>
      </c>
      <c r="I4" s="15">
        <f t="shared" si="0"/>
        <v>2018</v>
      </c>
      <c r="J4" s="15">
        <f t="shared" si="0"/>
        <v>2019</v>
      </c>
      <c r="K4" s="15">
        <f t="shared" si="0"/>
        <v>2020</v>
      </c>
      <c r="L4" s="15">
        <f t="shared" si="0"/>
        <v>2021</v>
      </c>
      <c r="M4" s="15">
        <f t="shared" si="0"/>
        <v>2022</v>
      </c>
      <c r="N4" s="15">
        <f t="shared" si="0"/>
        <v>2023</v>
      </c>
      <c r="O4" s="15">
        <f t="shared" si="0"/>
        <v>2024</v>
      </c>
      <c r="P4" s="15">
        <f t="shared" si="0"/>
        <v>2025</v>
      </c>
      <c r="Q4" s="15">
        <f t="shared" si="0"/>
        <v>2026</v>
      </c>
      <c r="R4" s="15">
        <f t="shared" si="0"/>
        <v>2027</v>
      </c>
      <c r="S4" s="15">
        <f t="shared" si="0"/>
        <v>2028</v>
      </c>
      <c r="T4" s="15">
        <f t="shared" si="0"/>
        <v>2029</v>
      </c>
      <c r="U4" s="15">
        <f t="shared" si="0"/>
        <v>2030</v>
      </c>
      <c r="V4" s="15">
        <f t="shared" si="0"/>
        <v>2031</v>
      </c>
      <c r="W4" s="15">
        <f t="shared" si="0"/>
        <v>2032</v>
      </c>
      <c r="X4" s="15">
        <f t="shared" si="0"/>
        <v>2033</v>
      </c>
      <c r="Y4" s="15">
        <f t="shared" si="0"/>
        <v>2034</v>
      </c>
      <c r="Z4" s="15">
        <f t="shared" si="0"/>
        <v>2035</v>
      </c>
      <c r="AA4" s="15">
        <f t="shared" si="0"/>
        <v>2036</v>
      </c>
      <c r="AB4" s="15">
        <f t="shared" si="0"/>
        <v>2037</v>
      </c>
      <c r="AC4" s="15">
        <f t="shared" si="0"/>
        <v>2038</v>
      </c>
      <c r="AD4" s="15">
        <f t="shared" si="0"/>
        <v>2039</v>
      </c>
      <c r="AE4" s="15">
        <f t="shared" si="0"/>
        <v>2040</v>
      </c>
      <c r="AF4" s="15">
        <f t="shared" si="0"/>
        <v>2041</v>
      </c>
      <c r="AG4" s="15">
        <f t="shared" si="0"/>
        <v>2042</v>
      </c>
      <c r="AH4" s="15">
        <f t="shared" si="0"/>
        <v>2043</v>
      </c>
      <c r="AI4" s="15">
        <f t="shared" si="0"/>
        <v>2044</v>
      </c>
    </row>
    <row r="5" spans="2:35" x14ac:dyDescent="0.2">
      <c r="C5" s="15" t="s">
        <v>145</v>
      </c>
      <c r="D5" s="26">
        <f>SUM(F5:AI5)</f>
        <v>21433042.300119191</v>
      </c>
      <c r="F5" s="32">
        <f>SUBTOTAL(9,F6:F37)</f>
        <v>21201042.300119191</v>
      </c>
      <c r="G5" s="32">
        <f t="shared" ref="G5:AI5" si="1">SUBTOTAL(9,G6:G37)</f>
        <v>8000</v>
      </c>
      <c r="H5" s="32">
        <f t="shared" si="1"/>
        <v>8000</v>
      </c>
      <c r="I5" s="32">
        <f t="shared" si="1"/>
        <v>8000</v>
      </c>
      <c r="J5" s="32">
        <f t="shared" si="1"/>
        <v>8000</v>
      </c>
      <c r="K5" s="32">
        <f t="shared" si="1"/>
        <v>8000</v>
      </c>
      <c r="L5" s="32">
        <f t="shared" si="1"/>
        <v>8000</v>
      </c>
      <c r="M5" s="32">
        <f t="shared" si="1"/>
        <v>8000</v>
      </c>
      <c r="N5" s="32">
        <f t="shared" si="1"/>
        <v>8000</v>
      </c>
      <c r="O5" s="32">
        <f t="shared" si="1"/>
        <v>8000</v>
      </c>
      <c r="P5" s="32">
        <f t="shared" si="1"/>
        <v>8000</v>
      </c>
      <c r="Q5" s="32">
        <f t="shared" si="1"/>
        <v>8000</v>
      </c>
      <c r="R5" s="32">
        <f t="shared" si="1"/>
        <v>8000</v>
      </c>
      <c r="S5" s="32">
        <f t="shared" si="1"/>
        <v>8000</v>
      </c>
      <c r="T5" s="32">
        <f t="shared" si="1"/>
        <v>8000</v>
      </c>
      <c r="U5" s="32">
        <f t="shared" si="1"/>
        <v>8000</v>
      </c>
      <c r="V5" s="32">
        <f t="shared" si="1"/>
        <v>8000</v>
      </c>
      <c r="W5" s="32">
        <f t="shared" si="1"/>
        <v>8000</v>
      </c>
      <c r="X5" s="32">
        <f t="shared" si="1"/>
        <v>8000</v>
      </c>
      <c r="Y5" s="32">
        <f t="shared" si="1"/>
        <v>8000</v>
      </c>
      <c r="Z5" s="32">
        <f t="shared" si="1"/>
        <v>8000</v>
      </c>
      <c r="AA5" s="32">
        <f t="shared" si="1"/>
        <v>8000</v>
      </c>
      <c r="AB5" s="32">
        <f t="shared" si="1"/>
        <v>8000</v>
      </c>
      <c r="AC5" s="32">
        <f t="shared" si="1"/>
        <v>8000</v>
      </c>
      <c r="AD5" s="32">
        <f t="shared" si="1"/>
        <v>8000</v>
      </c>
      <c r="AE5" s="32">
        <f t="shared" si="1"/>
        <v>8000</v>
      </c>
      <c r="AF5" s="32">
        <f t="shared" si="1"/>
        <v>8000</v>
      </c>
      <c r="AG5" s="32">
        <f t="shared" si="1"/>
        <v>8000</v>
      </c>
      <c r="AH5" s="32">
        <f t="shared" si="1"/>
        <v>8000</v>
      </c>
      <c r="AI5" s="32">
        <f t="shared" si="1"/>
        <v>8000</v>
      </c>
    </row>
    <row r="6" spans="2:35" x14ac:dyDescent="0.2">
      <c r="B6" s="25" t="str">
        <f t="array" ref="B6:B37">CES_Code</f>
        <v>1.</v>
      </c>
      <c r="C6" s="25" t="str">
        <f t="shared" ref="C6:C37" si="2">INDEX(CES_Description,MATCH(B6,CES_Code,0))</f>
        <v>Capital Expenditures</v>
      </c>
      <c r="D6" s="26">
        <f>SUM(F6:AI6)</f>
        <v>21201042.300119191</v>
      </c>
      <c r="E6" s="1"/>
      <c r="F6" s="26">
        <f>SUBTOTAL(9,F7:F35)</f>
        <v>21201042.300119191</v>
      </c>
      <c r="G6" s="26">
        <f t="shared" ref="G6:AI6" si="3">SUBTOTAL(9,G7:G35)</f>
        <v>0</v>
      </c>
      <c r="H6" s="26">
        <f t="shared" si="3"/>
        <v>0</v>
      </c>
      <c r="I6" s="26">
        <f t="shared" si="3"/>
        <v>0</v>
      </c>
      <c r="J6" s="26">
        <f t="shared" si="3"/>
        <v>0</v>
      </c>
      <c r="K6" s="26">
        <f t="shared" si="3"/>
        <v>0</v>
      </c>
      <c r="L6" s="26">
        <f t="shared" si="3"/>
        <v>0</v>
      </c>
      <c r="M6" s="26">
        <f t="shared" si="3"/>
        <v>0</v>
      </c>
      <c r="N6" s="26">
        <f t="shared" si="3"/>
        <v>0</v>
      </c>
      <c r="O6" s="26">
        <f t="shared" si="3"/>
        <v>0</v>
      </c>
      <c r="P6" s="26">
        <f t="shared" si="3"/>
        <v>0</v>
      </c>
      <c r="Q6" s="26">
        <f t="shared" si="3"/>
        <v>0</v>
      </c>
      <c r="R6" s="26">
        <f t="shared" si="3"/>
        <v>0</v>
      </c>
      <c r="S6" s="26">
        <f t="shared" si="3"/>
        <v>0</v>
      </c>
      <c r="T6" s="26">
        <f t="shared" si="3"/>
        <v>0</v>
      </c>
      <c r="U6" s="26">
        <f t="shared" si="3"/>
        <v>0</v>
      </c>
      <c r="V6" s="26">
        <f t="shared" si="3"/>
        <v>0</v>
      </c>
      <c r="W6" s="26">
        <f t="shared" si="3"/>
        <v>0</v>
      </c>
      <c r="X6" s="26">
        <f t="shared" si="3"/>
        <v>0</v>
      </c>
      <c r="Y6" s="26">
        <f t="shared" si="3"/>
        <v>0</v>
      </c>
      <c r="Z6" s="26">
        <f t="shared" si="3"/>
        <v>0</v>
      </c>
      <c r="AA6" s="26">
        <f t="shared" si="3"/>
        <v>0</v>
      </c>
      <c r="AB6" s="26">
        <f t="shared" si="3"/>
        <v>0</v>
      </c>
      <c r="AC6" s="26">
        <f t="shared" si="3"/>
        <v>0</v>
      </c>
      <c r="AD6" s="26">
        <f t="shared" si="3"/>
        <v>0</v>
      </c>
      <c r="AE6" s="26">
        <f t="shared" si="3"/>
        <v>0</v>
      </c>
      <c r="AF6" s="26">
        <f t="shared" si="3"/>
        <v>0</v>
      </c>
      <c r="AG6" s="26">
        <f t="shared" si="3"/>
        <v>0</v>
      </c>
      <c r="AH6" s="26">
        <f t="shared" si="3"/>
        <v>0</v>
      </c>
      <c r="AI6" s="26">
        <f t="shared" si="3"/>
        <v>0</v>
      </c>
    </row>
    <row r="7" spans="2:35" x14ac:dyDescent="0.2">
      <c r="B7" s="27" t="str">
        <v>1.1</v>
      </c>
      <c r="C7" s="28" t="str">
        <f t="shared" si="2"/>
        <v>Mobilization</v>
      </c>
      <c r="D7" s="29">
        <f t="shared" ref="D7:D37" si="4">SUM(F7:AI7)</f>
        <v>1344952.34344237</v>
      </c>
      <c r="E7" s="24"/>
      <c r="F7" s="29">
        <f>SUMIF(Parameters!$G:$G,$B7,Parameters!J:J)</f>
        <v>1344952.34344237</v>
      </c>
      <c r="G7" s="29">
        <f>SUMIF(Parameters!$G:$G,$B7,Parameters!K:K)</f>
        <v>0</v>
      </c>
      <c r="H7" s="29">
        <f>SUMIF(Parameters!$G:$G,$B7,Parameters!L:L)</f>
        <v>0</v>
      </c>
      <c r="I7" s="29">
        <f>SUMIF(Parameters!$G:$G,$B7,Parameters!M:M)</f>
        <v>0</v>
      </c>
      <c r="J7" s="29">
        <f>SUMIF(Parameters!$G:$G,$B7,Parameters!N:N)</f>
        <v>0</v>
      </c>
      <c r="K7" s="29">
        <f>SUMIF(Parameters!$G:$G,$B7,Parameters!O:O)</f>
        <v>0</v>
      </c>
      <c r="L7" s="29">
        <f>SUMIF(Parameters!$G:$G,$B7,Parameters!P:P)</f>
        <v>0</v>
      </c>
      <c r="M7" s="29">
        <f>SUMIF(Parameters!$G:$G,$B7,Parameters!Q:Q)</f>
        <v>0</v>
      </c>
      <c r="N7" s="29">
        <f>SUMIF(Parameters!$G:$G,$B7,Parameters!R:R)</f>
        <v>0</v>
      </c>
      <c r="O7" s="29">
        <f>SUMIF(Parameters!$G:$G,$B7,Parameters!S:S)</f>
        <v>0</v>
      </c>
      <c r="P7" s="29">
        <f>SUMIF(Parameters!$G:$G,$B7,Parameters!T:T)</f>
        <v>0</v>
      </c>
      <c r="Q7" s="29">
        <f>SUMIF(Parameters!$G:$G,$B7,Parameters!U:U)</f>
        <v>0</v>
      </c>
      <c r="R7" s="29">
        <f>SUMIF(Parameters!$G:$G,$B7,Parameters!V:V)</f>
        <v>0</v>
      </c>
      <c r="S7" s="29">
        <f>SUMIF(Parameters!$G:$G,$B7,Parameters!W:W)</f>
        <v>0</v>
      </c>
      <c r="T7" s="29">
        <f>SUMIF(Parameters!$G:$G,$B7,Parameters!X:X)</f>
        <v>0</v>
      </c>
      <c r="U7" s="29">
        <f>SUMIF(Parameters!$G:$G,$B7,Parameters!Y:Y)</f>
        <v>0</v>
      </c>
      <c r="V7" s="29">
        <f>SUMIF(Parameters!$G:$G,$B7,Parameters!Z:Z)</f>
        <v>0</v>
      </c>
      <c r="W7" s="29">
        <f>SUMIF(Parameters!$G:$G,$B7,Parameters!AA:AA)</f>
        <v>0</v>
      </c>
      <c r="X7" s="29">
        <f>SUMIF(Parameters!$G:$G,$B7,Parameters!AB:AB)</f>
        <v>0</v>
      </c>
      <c r="Y7" s="29">
        <f>SUMIF(Parameters!$G:$G,$B7,Parameters!AC:AC)</f>
        <v>0</v>
      </c>
      <c r="Z7" s="29">
        <f>SUMIF(Parameters!$G:$G,$B7,Parameters!AD:AD)</f>
        <v>0</v>
      </c>
      <c r="AA7" s="29">
        <f>SUMIF(Parameters!$G:$G,$B7,Parameters!AE:AE)</f>
        <v>0</v>
      </c>
      <c r="AB7" s="29">
        <f>SUMIF(Parameters!$G:$G,$B7,Parameters!AF:AF)</f>
        <v>0</v>
      </c>
      <c r="AC7" s="29">
        <f>SUMIF(Parameters!$G:$G,$B7,Parameters!AG:AG)</f>
        <v>0</v>
      </c>
      <c r="AD7" s="29">
        <f>SUMIF(Parameters!$G:$G,$B7,Parameters!AH:AH)</f>
        <v>0</v>
      </c>
      <c r="AE7" s="29">
        <f>SUMIF(Parameters!$G:$G,$B7,Parameters!AI:AI)</f>
        <v>0</v>
      </c>
      <c r="AF7" s="29">
        <f>SUMIF(Parameters!$G:$G,$B7,Parameters!AJ:AJ)</f>
        <v>0</v>
      </c>
      <c r="AG7" s="29">
        <f>SUMIF(Parameters!$G:$G,$B7,Parameters!AK:AK)</f>
        <v>0</v>
      </c>
      <c r="AH7" s="29">
        <f>SUMIF(Parameters!$G:$G,$B7,Parameters!AL:AL)</f>
        <v>0</v>
      </c>
      <c r="AI7" s="29">
        <f>SUMIF(Parameters!$G:$G,$B7,Parameters!AM:AM)</f>
        <v>0</v>
      </c>
    </row>
    <row r="8" spans="2:35" x14ac:dyDescent="0.2">
      <c r="B8" s="27" t="str">
        <v>1.2</v>
      </c>
      <c r="C8" s="28" t="str">
        <f t="shared" si="2"/>
        <v>Subgrade / Earthworks</v>
      </c>
      <c r="D8" s="29">
        <f t="shared" si="4"/>
        <v>1366253.6000268999</v>
      </c>
      <c r="E8" s="24"/>
      <c r="F8" s="29">
        <f>SUBTOTAL(9,F9:F11)</f>
        <v>1366253.6000268999</v>
      </c>
      <c r="G8" s="29">
        <f t="shared" ref="G8:AI8" si="5">SUBTOTAL(9,G9:G11)</f>
        <v>0</v>
      </c>
      <c r="H8" s="29">
        <f t="shared" si="5"/>
        <v>0</v>
      </c>
      <c r="I8" s="29">
        <f t="shared" si="5"/>
        <v>0</v>
      </c>
      <c r="J8" s="29">
        <f t="shared" si="5"/>
        <v>0</v>
      </c>
      <c r="K8" s="29">
        <f t="shared" si="5"/>
        <v>0</v>
      </c>
      <c r="L8" s="29">
        <f t="shared" si="5"/>
        <v>0</v>
      </c>
      <c r="M8" s="29">
        <f t="shared" si="5"/>
        <v>0</v>
      </c>
      <c r="N8" s="29">
        <f t="shared" si="5"/>
        <v>0</v>
      </c>
      <c r="O8" s="29">
        <f t="shared" si="5"/>
        <v>0</v>
      </c>
      <c r="P8" s="29">
        <f t="shared" si="5"/>
        <v>0</v>
      </c>
      <c r="Q8" s="29">
        <f t="shared" si="5"/>
        <v>0</v>
      </c>
      <c r="R8" s="29">
        <f t="shared" si="5"/>
        <v>0</v>
      </c>
      <c r="S8" s="29">
        <f t="shared" si="5"/>
        <v>0</v>
      </c>
      <c r="T8" s="29">
        <f t="shared" si="5"/>
        <v>0</v>
      </c>
      <c r="U8" s="29">
        <f t="shared" si="5"/>
        <v>0</v>
      </c>
      <c r="V8" s="29">
        <f t="shared" si="5"/>
        <v>0</v>
      </c>
      <c r="W8" s="29">
        <f t="shared" si="5"/>
        <v>0</v>
      </c>
      <c r="X8" s="29">
        <f t="shared" si="5"/>
        <v>0</v>
      </c>
      <c r="Y8" s="29">
        <f t="shared" si="5"/>
        <v>0</v>
      </c>
      <c r="Z8" s="29">
        <f t="shared" si="5"/>
        <v>0</v>
      </c>
      <c r="AA8" s="29">
        <f t="shared" si="5"/>
        <v>0</v>
      </c>
      <c r="AB8" s="29">
        <f t="shared" si="5"/>
        <v>0</v>
      </c>
      <c r="AC8" s="29">
        <f t="shared" si="5"/>
        <v>0</v>
      </c>
      <c r="AD8" s="29">
        <f t="shared" si="5"/>
        <v>0</v>
      </c>
      <c r="AE8" s="29">
        <f t="shared" si="5"/>
        <v>0</v>
      </c>
      <c r="AF8" s="29">
        <f t="shared" si="5"/>
        <v>0</v>
      </c>
      <c r="AG8" s="29">
        <f t="shared" si="5"/>
        <v>0</v>
      </c>
      <c r="AH8" s="29">
        <f t="shared" si="5"/>
        <v>0</v>
      </c>
      <c r="AI8" s="29">
        <f t="shared" si="5"/>
        <v>0</v>
      </c>
    </row>
    <row r="9" spans="2:35" x14ac:dyDescent="0.2">
      <c r="B9" s="30" t="str">
        <v>1.2.1</v>
      </c>
      <c r="C9" s="14" t="str">
        <f t="shared" si="2"/>
        <v>Earthworks</v>
      </c>
      <c r="D9" s="31">
        <f t="shared" si="4"/>
        <v>688825.60002689995</v>
      </c>
      <c r="E9" s="1"/>
      <c r="F9" s="29">
        <f>SUMIF(Parameters!$G:$G,$B9,Parameters!J:J)</f>
        <v>688825.60002689995</v>
      </c>
      <c r="G9" s="29">
        <f>SUMIF(Parameters!$G:$G,$B9,Parameters!K:K)</f>
        <v>0</v>
      </c>
      <c r="H9" s="29">
        <f>SUMIF(Parameters!$G:$G,$B9,Parameters!L:L)</f>
        <v>0</v>
      </c>
      <c r="I9" s="29">
        <f>SUMIF(Parameters!$G:$G,$B9,Parameters!M:M)</f>
        <v>0</v>
      </c>
      <c r="J9" s="29">
        <f>SUMIF(Parameters!$G:$G,$B9,Parameters!N:N)</f>
        <v>0</v>
      </c>
      <c r="K9" s="29">
        <f>SUMIF(Parameters!$G:$G,$B9,Parameters!O:O)</f>
        <v>0</v>
      </c>
      <c r="L9" s="29">
        <f>SUMIF(Parameters!$G:$G,$B9,Parameters!P:P)</f>
        <v>0</v>
      </c>
      <c r="M9" s="29">
        <f>SUMIF(Parameters!$G:$G,$B9,Parameters!Q:Q)</f>
        <v>0</v>
      </c>
      <c r="N9" s="29">
        <f>SUMIF(Parameters!$G:$G,$B9,Parameters!R:R)</f>
        <v>0</v>
      </c>
      <c r="O9" s="29">
        <f>SUMIF(Parameters!$G:$G,$B9,Parameters!S:S)</f>
        <v>0</v>
      </c>
      <c r="P9" s="29">
        <f>SUMIF(Parameters!$G:$G,$B9,Parameters!T:T)</f>
        <v>0</v>
      </c>
      <c r="Q9" s="29">
        <f>SUMIF(Parameters!$G:$G,$B9,Parameters!U:U)</f>
        <v>0</v>
      </c>
      <c r="R9" s="29">
        <f>SUMIF(Parameters!$G:$G,$B9,Parameters!V:V)</f>
        <v>0</v>
      </c>
      <c r="S9" s="29">
        <f>SUMIF(Parameters!$G:$G,$B9,Parameters!W:W)</f>
        <v>0</v>
      </c>
      <c r="T9" s="29">
        <f>SUMIF(Parameters!$G:$G,$B9,Parameters!X:X)</f>
        <v>0</v>
      </c>
      <c r="U9" s="29">
        <f>SUMIF(Parameters!$G:$G,$B9,Parameters!Y:Y)</f>
        <v>0</v>
      </c>
      <c r="V9" s="29">
        <f>SUMIF(Parameters!$G:$G,$B9,Parameters!Z:Z)</f>
        <v>0</v>
      </c>
      <c r="W9" s="29">
        <f>SUMIF(Parameters!$G:$G,$B9,Parameters!AA:AA)</f>
        <v>0</v>
      </c>
      <c r="X9" s="29">
        <f>SUMIF(Parameters!$G:$G,$B9,Parameters!AB:AB)</f>
        <v>0</v>
      </c>
      <c r="Y9" s="29">
        <f>SUMIF(Parameters!$G:$G,$B9,Parameters!AC:AC)</f>
        <v>0</v>
      </c>
      <c r="Z9" s="29">
        <f>SUMIF(Parameters!$G:$G,$B9,Parameters!AD:AD)</f>
        <v>0</v>
      </c>
      <c r="AA9" s="29">
        <f>SUMIF(Parameters!$G:$G,$B9,Parameters!AE:AE)</f>
        <v>0</v>
      </c>
      <c r="AB9" s="29">
        <f>SUMIF(Parameters!$G:$G,$B9,Parameters!AF:AF)</f>
        <v>0</v>
      </c>
      <c r="AC9" s="29">
        <f>SUMIF(Parameters!$G:$G,$B9,Parameters!AG:AG)</f>
        <v>0</v>
      </c>
      <c r="AD9" s="29">
        <f>SUMIF(Parameters!$G:$G,$B9,Parameters!AH:AH)</f>
        <v>0</v>
      </c>
      <c r="AE9" s="29">
        <f>SUMIF(Parameters!$G:$G,$B9,Parameters!AI:AI)</f>
        <v>0</v>
      </c>
      <c r="AF9" s="29">
        <f>SUMIF(Parameters!$G:$G,$B9,Parameters!AJ:AJ)</f>
        <v>0</v>
      </c>
      <c r="AG9" s="29">
        <f>SUMIF(Parameters!$G:$G,$B9,Parameters!AK:AK)</f>
        <v>0</v>
      </c>
      <c r="AH9" s="29">
        <f>SUMIF(Parameters!$G:$G,$B9,Parameters!AL:AL)</f>
        <v>0</v>
      </c>
      <c r="AI9" s="29">
        <f>SUMIF(Parameters!$G:$G,$B9,Parameters!AM:AM)</f>
        <v>0</v>
      </c>
    </row>
    <row r="10" spans="2:35" x14ac:dyDescent="0.2">
      <c r="B10" s="30" t="str">
        <v>1.2.2</v>
      </c>
      <c r="C10" s="14" t="str">
        <f t="shared" si="2"/>
        <v>12" Subballast</v>
      </c>
      <c r="D10" s="31">
        <f t="shared" si="4"/>
        <v>487500</v>
      </c>
      <c r="E10" s="1"/>
      <c r="F10" s="29">
        <f>SUMIF(Parameters!$G:$G,$B10,Parameters!J:J)</f>
        <v>487500</v>
      </c>
      <c r="G10" s="29">
        <f>SUMIF(Parameters!$G:$G,$B10,Parameters!K:K)</f>
        <v>0</v>
      </c>
      <c r="H10" s="29">
        <f>SUMIF(Parameters!$G:$G,$B10,Parameters!L:L)</f>
        <v>0</v>
      </c>
      <c r="I10" s="29">
        <f>SUMIF(Parameters!$G:$G,$B10,Parameters!M:M)</f>
        <v>0</v>
      </c>
      <c r="J10" s="29">
        <f>SUMIF(Parameters!$G:$G,$B10,Parameters!N:N)</f>
        <v>0</v>
      </c>
      <c r="K10" s="29">
        <f>SUMIF(Parameters!$G:$G,$B10,Parameters!O:O)</f>
        <v>0</v>
      </c>
      <c r="L10" s="29">
        <f>SUMIF(Parameters!$G:$G,$B10,Parameters!P:P)</f>
        <v>0</v>
      </c>
      <c r="M10" s="29">
        <f>SUMIF(Parameters!$G:$G,$B10,Parameters!Q:Q)</f>
        <v>0</v>
      </c>
      <c r="N10" s="29">
        <f>SUMIF(Parameters!$G:$G,$B10,Parameters!R:R)</f>
        <v>0</v>
      </c>
      <c r="O10" s="29">
        <f>SUMIF(Parameters!$G:$G,$B10,Parameters!S:S)</f>
        <v>0</v>
      </c>
      <c r="P10" s="29">
        <f>SUMIF(Parameters!$G:$G,$B10,Parameters!T:T)</f>
        <v>0</v>
      </c>
      <c r="Q10" s="29">
        <f>SUMIF(Parameters!$G:$G,$B10,Parameters!U:U)</f>
        <v>0</v>
      </c>
      <c r="R10" s="29">
        <f>SUMIF(Parameters!$G:$G,$B10,Parameters!V:V)</f>
        <v>0</v>
      </c>
      <c r="S10" s="29">
        <f>SUMIF(Parameters!$G:$G,$B10,Parameters!W:W)</f>
        <v>0</v>
      </c>
      <c r="T10" s="29">
        <f>SUMIF(Parameters!$G:$G,$B10,Parameters!X:X)</f>
        <v>0</v>
      </c>
      <c r="U10" s="29">
        <f>SUMIF(Parameters!$G:$G,$B10,Parameters!Y:Y)</f>
        <v>0</v>
      </c>
      <c r="V10" s="29">
        <f>SUMIF(Parameters!$G:$G,$B10,Parameters!Z:Z)</f>
        <v>0</v>
      </c>
      <c r="W10" s="29">
        <f>SUMIF(Parameters!$G:$G,$B10,Parameters!AA:AA)</f>
        <v>0</v>
      </c>
      <c r="X10" s="29">
        <f>SUMIF(Parameters!$G:$G,$B10,Parameters!AB:AB)</f>
        <v>0</v>
      </c>
      <c r="Y10" s="29">
        <f>SUMIF(Parameters!$G:$G,$B10,Parameters!AC:AC)</f>
        <v>0</v>
      </c>
      <c r="Z10" s="29">
        <f>SUMIF(Parameters!$G:$G,$B10,Parameters!AD:AD)</f>
        <v>0</v>
      </c>
      <c r="AA10" s="29">
        <f>SUMIF(Parameters!$G:$G,$B10,Parameters!AE:AE)</f>
        <v>0</v>
      </c>
      <c r="AB10" s="29">
        <f>SUMIF(Parameters!$G:$G,$B10,Parameters!AF:AF)</f>
        <v>0</v>
      </c>
      <c r="AC10" s="29">
        <f>SUMIF(Parameters!$G:$G,$B10,Parameters!AG:AG)</f>
        <v>0</v>
      </c>
      <c r="AD10" s="29">
        <f>SUMIF(Parameters!$G:$G,$B10,Parameters!AH:AH)</f>
        <v>0</v>
      </c>
      <c r="AE10" s="29">
        <f>SUMIF(Parameters!$G:$G,$B10,Parameters!AI:AI)</f>
        <v>0</v>
      </c>
      <c r="AF10" s="29">
        <f>SUMIF(Parameters!$G:$G,$B10,Parameters!AJ:AJ)</f>
        <v>0</v>
      </c>
      <c r="AG10" s="29">
        <f>SUMIF(Parameters!$G:$G,$B10,Parameters!AK:AK)</f>
        <v>0</v>
      </c>
      <c r="AH10" s="29">
        <f>SUMIF(Parameters!$G:$G,$B10,Parameters!AL:AL)</f>
        <v>0</v>
      </c>
      <c r="AI10" s="29">
        <f>SUMIF(Parameters!$G:$G,$B10,Parameters!AM:AM)</f>
        <v>0</v>
      </c>
    </row>
    <row r="11" spans="2:35" x14ac:dyDescent="0.2">
      <c r="B11" s="30" t="str">
        <v>1.2.3</v>
      </c>
      <c r="C11" s="14" t="str">
        <f t="shared" si="2"/>
        <v>8" Lime Stabilization</v>
      </c>
      <c r="D11" s="31">
        <f t="shared" si="4"/>
        <v>189928</v>
      </c>
      <c r="E11" s="1"/>
      <c r="F11" s="29">
        <f>SUMIF(Parameters!$G:$G,$B11,Parameters!J:J)</f>
        <v>189928</v>
      </c>
      <c r="G11" s="29">
        <f>SUMIF(Parameters!$G:$G,$B11,Parameters!K:K)</f>
        <v>0</v>
      </c>
      <c r="H11" s="29">
        <f>SUMIF(Parameters!$G:$G,$B11,Parameters!L:L)</f>
        <v>0</v>
      </c>
      <c r="I11" s="29">
        <f>SUMIF(Parameters!$G:$G,$B11,Parameters!M:M)</f>
        <v>0</v>
      </c>
      <c r="J11" s="29">
        <f>SUMIF(Parameters!$G:$G,$B11,Parameters!N:N)</f>
        <v>0</v>
      </c>
      <c r="K11" s="29">
        <f>SUMIF(Parameters!$G:$G,$B11,Parameters!O:O)</f>
        <v>0</v>
      </c>
      <c r="L11" s="29">
        <f>SUMIF(Parameters!$G:$G,$B11,Parameters!P:P)</f>
        <v>0</v>
      </c>
      <c r="M11" s="29">
        <f>SUMIF(Parameters!$G:$G,$B11,Parameters!Q:Q)</f>
        <v>0</v>
      </c>
      <c r="N11" s="29">
        <f>SUMIF(Parameters!$G:$G,$B11,Parameters!R:R)</f>
        <v>0</v>
      </c>
      <c r="O11" s="29">
        <f>SUMIF(Parameters!$G:$G,$B11,Parameters!S:S)</f>
        <v>0</v>
      </c>
      <c r="P11" s="29">
        <f>SUMIF(Parameters!$G:$G,$B11,Parameters!T:T)</f>
        <v>0</v>
      </c>
      <c r="Q11" s="29">
        <f>SUMIF(Parameters!$G:$G,$B11,Parameters!U:U)</f>
        <v>0</v>
      </c>
      <c r="R11" s="29">
        <f>SUMIF(Parameters!$G:$G,$B11,Parameters!V:V)</f>
        <v>0</v>
      </c>
      <c r="S11" s="29">
        <f>SUMIF(Parameters!$G:$G,$B11,Parameters!W:W)</f>
        <v>0</v>
      </c>
      <c r="T11" s="29">
        <f>SUMIF(Parameters!$G:$G,$B11,Parameters!X:X)</f>
        <v>0</v>
      </c>
      <c r="U11" s="29">
        <f>SUMIF(Parameters!$G:$G,$B11,Parameters!Y:Y)</f>
        <v>0</v>
      </c>
      <c r="V11" s="29">
        <f>SUMIF(Parameters!$G:$G,$B11,Parameters!Z:Z)</f>
        <v>0</v>
      </c>
      <c r="W11" s="29">
        <f>SUMIF(Parameters!$G:$G,$B11,Parameters!AA:AA)</f>
        <v>0</v>
      </c>
      <c r="X11" s="29">
        <f>SUMIF(Parameters!$G:$G,$B11,Parameters!AB:AB)</f>
        <v>0</v>
      </c>
      <c r="Y11" s="29">
        <f>SUMIF(Parameters!$G:$G,$B11,Parameters!AC:AC)</f>
        <v>0</v>
      </c>
      <c r="Z11" s="29">
        <f>SUMIF(Parameters!$G:$G,$B11,Parameters!AD:AD)</f>
        <v>0</v>
      </c>
      <c r="AA11" s="29">
        <f>SUMIF(Parameters!$G:$G,$B11,Parameters!AE:AE)</f>
        <v>0</v>
      </c>
      <c r="AB11" s="29">
        <f>SUMIF(Parameters!$G:$G,$B11,Parameters!AF:AF)</f>
        <v>0</v>
      </c>
      <c r="AC11" s="29">
        <f>SUMIF(Parameters!$G:$G,$B11,Parameters!AG:AG)</f>
        <v>0</v>
      </c>
      <c r="AD11" s="29">
        <f>SUMIF(Parameters!$G:$G,$B11,Parameters!AH:AH)</f>
        <v>0</v>
      </c>
      <c r="AE11" s="29">
        <f>SUMIF(Parameters!$G:$G,$B11,Parameters!AI:AI)</f>
        <v>0</v>
      </c>
      <c r="AF11" s="29">
        <f>SUMIF(Parameters!$G:$G,$B11,Parameters!AJ:AJ)</f>
        <v>0</v>
      </c>
      <c r="AG11" s="29">
        <f>SUMIF(Parameters!$G:$G,$B11,Parameters!AK:AK)</f>
        <v>0</v>
      </c>
      <c r="AH11" s="29">
        <f>SUMIF(Parameters!$G:$G,$B11,Parameters!AL:AL)</f>
        <v>0</v>
      </c>
      <c r="AI11" s="29">
        <f>SUMIF(Parameters!$G:$G,$B11,Parameters!AM:AM)</f>
        <v>0</v>
      </c>
    </row>
    <row r="12" spans="2:35" x14ac:dyDescent="0.2">
      <c r="B12" s="27" t="str">
        <v>1.3</v>
      </c>
      <c r="C12" s="28" t="str">
        <f t="shared" si="2"/>
        <v>Track Work</v>
      </c>
      <c r="D12" s="29">
        <f t="shared" si="4"/>
        <v>2208269.8343968</v>
      </c>
      <c r="E12" s="24"/>
      <c r="F12" s="29">
        <f>SUBTOTAL(9,F13:F15)</f>
        <v>2208269.8343968</v>
      </c>
      <c r="G12" s="29">
        <f t="shared" ref="G12:AI12" si="6">SUBTOTAL(9,G13:G15)</f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</row>
    <row r="13" spans="2:35" x14ac:dyDescent="0.2">
      <c r="B13" s="30" t="str">
        <v>1.3.1</v>
      </c>
      <c r="C13" s="14" t="str">
        <f t="shared" si="2"/>
        <v>Proposed Track (Rail, Ballast, OTM)</v>
      </c>
      <c r="D13" s="31">
        <f t="shared" si="4"/>
        <v>694475.99999679998</v>
      </c>
      <c r="E13" s="1"/>
      <c r="F13" s="29">
        <f>SUMIF(Parameters!$G:$G,$B13,Parameters!J:J)</f>
        <v>694475.99999679998</v>
      </c>
      <c r="G13" s="29">
        <f>SUMIF(Parameters!$G:$G,$B13,Parameters!K:K)</f>
        <v>0</v>
      </c>
      <c r="H13" s="29">
        <f>SUMIF(Parameters!$G:$G,$B13,Parameters!L:L)</f>
        <v>0</v>
      </c>
      <c r="I13" s="29">
        <f>SUMIF(Parameters!$G:$G,$B13,Parameters!M:M)</f>
        <v>0</v>
      </c>
      <c r="J13" s="29">
        <f>SUMIF(Parameters!$G:$G,$B13,Parameters!N:N)</f>
        <v>0</v>
      </c>
      <c r="K13" s="29">
        <f>SUMIF(Parameters!$G:$G,$B13,Parameters!O:O)</f>
        <v>0</v>
      </c>
      <c r="L13" s="29">
        <f>SUMIF(Parameters!$G:$G,$B13,Parameters!P:P)</f>
        <v>0</v>
      </c>
      <c r="M13" s="29">
        <f>SUMIF(Parameters!$G:$G,$B13,Parameters!Q:Q)</f>
        <v>0</v>
      </c>
      <c r="N13" s="29">
        <f>SUMIF(Parameters!$G:$G,$B13,Parameters!R:R)</f>
        <v>0</v>
      </c>
      <c r="O13" s="29">
        <f>SUMIF(Parameters!$G:$G,$B13,Parameters!S:S)</f>
        <v>0</v>
      </c>
      <c r="P13" s="29">
        <f>SUMIF(Parameters!$G:$G,$B13,Parameters!T:T)</f>
        <v>0</v>
      </c>
      <c r="Q13" s="29">
        <f>SUMIF(Parameters!$G:$G,$B13,Parameters!U:U)</f>
        <v>0</v>
      </c>
      <c r="R13" s="29">
        <f>SUMIF(Parameters!$G:$G,$B13,Parameters!V:V)</f>
        <v>0</v>
      </c>
      <c r="S13" s="29">
        <f>SUMIF(Parameters!$G:$G,$B13,Parameters!W:W)</f>
        <v>0</v>
      </c>
      <c r="T13" s="29">
        <f>SUMIF(Parameters!$G:$G,$B13,Parameters!X:X)</f>
        <v>0</v>
      </c>
      <c r="U13" s="29">
        <f>SUMIF(Parameters!$G:$G,$B13,Parameters!Y:Y)</f>
        <v>0</v>
      </c>
      <c r="V13" s="29">
        <f>SUMIF(Parameters!$G:$G,$B13,Parameters!Z:Z)</f>
        <v>0</v>
      </c>
      <c r="W13" s="29">
        <f>SUMIF(Parameters!$G:$G,$B13,Parameters!AA:AA)</f>
        <v>0</v>
      </c>
      <c r="X13" s="29">
        <f>SUMIF(Parameters!$G:$G,$B13,Parameters!AB:AB)</f>
        <v>0</v>
      </c>
      <c r="Y13" s="29">
        <f>SUMIF(Parameters!$G:$G,$B13,Parameters!AC:AC)</f>
        <v>0</v>
      </c>
      <c r="Z13" s="29">
        <f>SUMIF(Parameters!$G:$G,$B13,Parameters!AD:AD)</f>
        <v>0</v>
      </c>
      <c r="AA13" s="29">
        <f>SUMIF(Parameters!$G:$G,$B13,Parameters!AE:AE)</f>
        <v>0</v>
      </c>
      <c r="AB13" s="29">
        <f>SUMIF(Parameters!$G:$G,$B13,Parameters!AF:AF)</f>
        <v>0</v>
      </c>
      <c r="AC13" s="29">
        <f>SUMIF(Parameters!$G:$G,$B13,Parameters!AG:AG)</f>
        <v>0</v>
      </c>
      <c r="AD13" s="29">
        <f>SUMIF(Parameters!$G:$G,$B13,Parameters!AH:AH)</f>
        <v>0</v>
      </c>
      <c r="AE13" s="29">
        <f>SUMIF(Parameters!$G:$G,$B13,Parameters!AI:AI)</f>
        <v>0</v>
      </c>
      <c r="AF13" s="29">
        <f>SUMIF(Parameters!$G:$G,$B13,Parameters!AJ:AJ)</f>
        <v>0</v>
      </c>
      <c r="AG13" s="29">
        <f>SUMIF(Parameters!$G:$G,$B13,Parameters!AK:AK)</f>
        <v>0</v>
      </c>
      <c r="AH13" s="29">
        <f>SUMIF(Parameters!$G:$G,$B13,Parameters!AL:AL)</f>
        <v>0</v>
      </c>
      <c r="AI13" s="29">
        <f>SUMIF(Parameters!$G:$G,$B13,Parameters!AM:AM)</f>
        <v>0</v>
      </c>
    </row>
    <row r="14" spans="2:35" x14ac:dyDescent="0.2">
      <c r="B14" s="30" t="str">
        <v>1.3.2</v>
      </c>
      <c r="C14" s="14" t="str">
        <f t="shared" si="2"/>
        <v>Proposed Track Shift (Rail, Ballast, OTM)</v>
      </c>
      <c r="D14" s="31">
        <f t="shared" si="4"/>
        <v>513793.83439999999</v>
      </c>
      <c r="E14" s="1"/>
      <c r="F14" s="29">
        <f>SUMIF(Parameters!$G:$G,$B14,Parameters!J:J)</f>
        <v>513793.83439999999</v>
      </c>
      <c r="G14" s="29">
        <f>SUMIF(Parameters!$G:$G,$B14,Parameters!K:K)</f>
        <v>0</v>
      </c>
      <c r="H14" s="29">
        <f>SUMIF(Parameters!$G:$G,$B14,Parameters!L:L)</f>
        <v>0</v>
      </c>
      <c r="I14" s="29">
        <f>SUMIF(Parameters!$G:$G,$B14,Parameters!M:M)</f>
        <v>0</v>
      </c>
      <c r="J14" s="29">
        <f>SUMIF(Parameters!$G:$G,$B14,Parameters!N:N)</f>
        <v>0</v>
      </c>
      <c r="K14" s="29">
        <f>SUMIF(Parameters!$G:$G,$B14,Parameters!O:O)</f>
        <v>0</v>
      </c>
      <c r="L14" s="29">
        <f>SUMIF(Parameters!$G:$G,$B14,Parameters!P:P)</f>
        <v>0</v>
      </c>
      <c r="M14" s="29">
        <f>SUMIF(Parameters!$G:$G,$B14,Parameters!Q:Q)</f>
        <v>0</v>
      </c>
      <c r="N14" s="29">
        <f>SUMIF(Parameters!$G:$G,$B14,Parameters!R:R)</f>
        <v>0</v>
      </c>
      <c r="O14" s="29">
        <f>SUMIF(Parameters!$G:$G,$B14,Parameters!S:S)</f>
        <v>0</v>
      </c>
      <c r="P14" s="29">
        <f>SUMIF(Parameters!$G:$G,$B14,Parameters!T:T)</f>
        <v>0</v>
      </c>
      <c r="Q14" s="29">
        <f>SUMIF(Parameters!$G:$G,$B14,Parameters!U:U)</f>
        <v>0</v>
      </c>
      <c r="R14" s="29">
        <f>SUMIF(Parameters!$G:$G,$B14,Parameters!V:V)</f>
        <v>0</v>
      </c>
      <c r="S14" s="29">
        <f>SUMIF(Parameters!$G:$G,$B14,Parameters!W:W)</f>
        <v>0</v>
      </c>
      <c r="T14" s="29">
        <f>SUMIF(Parameters!$G:$G,$B14,Parameters!X:X)</f>
        <v>0</v>
      </c>
      <c r="U14" s="29">
        <f>SUMIF(Parameters!$G:$G,$B14,Parameters!Y:Y)</f>
        <v>0</v>
      </c>
      <c r="V14" s="29">
        <f>SUMIF(Parameters!$G:$G,$B14,Parameters!Z:Z)</f>
        <v>0</v>
      </c>
      <c r="W14" s="29">
        <f>SUMIF(Parameters!$G:$G,$B14,Parameters!AA:AA)</f>
        <v>0</v>
      </c>
      <c r="X14" s="29">
        <f>SUMIF(Parameters!$G:$G,$B14,Parameters!AB:AB)</f>
        <v>0</v>
      </c>
      <c r="Y14" s="29">
        <f>SUMIF(Parameters!$G:$G,$B14,Parameters!AC:AC)</f>
        <v>0</v>
      </c>
      <c r="Z14" s="29">
        <f>SUMIF(Parameters!$G:$G,$B14,Parameters!AD:AD)</f>
        <v>0</v>
      </c>
      <c r="AA14" s="29">
        <f>SUMIF(Parameters!$G:$G,$B14,Parameters!AE:AE)</f>
        <v>0</v>
      </c>
      <c r="AB14" s="29">
        <f>SUMIF(Parameters!$G:$G,$B14,Parameters!AF:AF)</f>
        <v>0</v>
      </c>
      <c r="AC14" s="29">
        <f>SUMIF(Parameters!$G:$G,$B14,Parameters!AG:AG)</f>
        <v>0</v>
      </c>
      <c r="AD14" s="29">
        <f>SUMIF(Parameters!$G:$G,$B14,Parameters!AH:AH)</f>
        <v>0</v>
      </c>
      <c r="AE14" s="29">
        <f>SUMIF(Parameters!$G:$G,$B14,Parameters!AI:AI)</f>
        <v>0</v>
      </c>
      <c r="AF14" s="29">
        <f>SUMIF(Parameters!$G:$G,$B14,Parameters!AJ:AJ)</f>
        <v>0</v>
      </c>
      <c r="AG14" s="29">
        <f>SUMIF(Parameters!$G:$G,$B14,Parameters!AK:AK)</f>
        <v>0</v>
      </c>
      <c r="AH14" s="29">
        <f>SUMIF(Parameters!$G:$G,$B14,Parameters!AL:AL)</f>
        <v>0</v>
      </c>
      <c r="AI14" s="29">
        <f>SUMIF(Parameters!$G:$G,$B14,Parameters!AM:AM)</f>
        <v>0</v>
      </c>
    </row>
    <row r="15" spans="2:35" x14ac:dyDescent="0.2">
      <c r="B15" s="30" t="str">
        <v>1.3.3</v>
      </c>
      <c r="C15" s="14" t="str">
        <f t="shared" si="2"/>
        <v>Proposed #15 Turnout</v>
      </c>
      <c r="D15" s="31">
        <f t="shared" si="4"/>
        <v>1000000</v>
      </c>
      <c r="E15" s="1"/>
      <c r="F15" s="29">
        <f>SUMIF(Parameters!$G:$G,$B15,Parameters!J:J)</f>
        <v>1000000</v>
      </c>
      <c r="G15" s="29">
        <f>SUMIF(Parameters!$G:$G,$B15,Parameters!K:K)</f>
        <v>0</v>
      </c>
      <c r="H15" s="29">
        <f>SUMIF(Parameters!$G:$G,$B15,Parameters!L:L)</f>
        <v>0</v>
      </c>
      <c r="I15" s="29">
        <f>SUMIF(Parameters!$G:$G,$B15,Parameters!M:M)</f>
        <v>0</v>
      </c>
      <c r="J15" s="29">
        <f>SUMIF(Parameters!$G:$G,$B15,Parameters!N:N)</f>
        <v>0</v>
      </c>
      <c r="K15" s="29">
        <f>SUMIF(Parameters!$G:$G,$B15,Parameters!O:O)</f>
        <v>0</v>
      </c>
      <c r="L15" s="29">
        <f>SUMIF(Parameters!$G:$G,$B15,Parameters!P:P)</f>
        <v>0</v>
      </c>
      <c r="M15" s="29">
        <f>SUMIF(Parameters!$G:$G,$B15,Parameters!Q:Q)</f>
        <v>0</v>
      </c>
      <c r="N15" s="29">
        <f>SUMIF(Parameters!$G:$G,$B15,Parameters!R:R)</f>
        <v>0</v>
      </c>
      <c r="O15" s="29">
        <f>SUMIF(Parameters!$G:$G,$B15,Parameters!S:S)</f>
        <v>0</v>
      </c>
      <c r="P15" s="29">
        <f>SUMIF(Parameters!$G:$G,$B15,Parameters!T:T)</f>
        <v>0</v>
      </c>
      <c r="Q15" s="29">
        <f>SUMIF(Parameters!$G:$G,$B15,Parameters!U:U)</f>
        <v>0</v>
      </c>
      <c r="R15" s="29">
        <f>SUMIF(Parameters!$G:$G,$B15,Parameters!V:V)</f>
        <v>0</v>
      </c>
      <c r="S15" s="29">
        <f>SUMIF(Parameters!$G:$G,$B15,Parameters!W:W)</f>
        <v>0</v>
      </c>
      <c r="T15" s="29">
        <f>SUMIF(Parameters!$G:$G,$B15,Parameters!X:X)</f>
        <v>0</v>
      </c>
      <c r="U15" s="29">
        <f>SUMIF(Parameters!$G:$G,$B15,Parameters!Y:Y)</f>
        <v>0</v>
      </c>
      <c r="V15" s="29">
        <f>SUMIF(Parameters!$G:$G,$B15,Parameters!Z:Z)</f>
        <v>0</v>
      </c>
      <c r="W15" s="29">
        <f>SUMIF(Parameters!$G:$G,$B15,Parameters!AA:AA)</f>
        <v>0</v>
      </c>
      <c r="X15" s="29">
        <f>SUMIF(Parameters!$G:$G,$B15,Parameters!AB:AB)</f>
        <v>0</v>
      </c>
      <c r="Y15" s="29">
        <f>SUMIF(Parameters!$G:$G,$B15,Parameters!AC:AC)</f>
        <v>0</v>
      </c>
      <c r="Z15" s="29">
        <f>SUMIF(Parameters!$G:$G,$B15,Parameters!AD:AD)</f>
        <v>0</v>
      </c>
      <c r="AA15" s="29">
        <f>SUMIF(Parameters!$G:$G,$B15,Parameters!AE:AE)</f>
        <v>0</v>
      </c>
      <c r="AB15" s="29">
        <f>SUMIF(Parameters!$G:$G,$B15,Parameters!AF:AF)</f>
        <v>0</v>
      </c>
      <c r="AC15" s="29">
        <f>SUMIF(Parameters!$G:$G,$B15,Parameters!AG:AG)</f>
        <v>0</v>
      </c>
      <c r="AD15" s="29">
        <f>SUMIF(Parameters!$G:$G,$B15,Parameters!AH:AH)</f>
        <v>0</v>
      </c>
      <c r="AE15" s="29">
        <f>SUMIF(Parameters!$G:$G,$B15,Parameters!AI:AI)</f>
        <v>0</v>
      </c>
      <c r="AF15" s="29">
        <f>SUMIF(Parameters!$G:$G,$B15,Parameters!AJ:AJ)</f>
        <v>0</v>
      </c>
      <c r="AG15" s="29">
        <f>SUMIF(Parameters!$G:$G,$B15,Parameters!AK:AK)</f>
        <v>0</v>
      </c>
      <c r="AH15" s="29">
        <f>SUMIF(Parameters!$G:$G,$B15,Parameters!AL:AL)</f>
        <v>0</v>
      </c>
      <c r="AI15" s="29">
        <f>SUMIF(Parameters!$G:$G,$B15,Parameters!AM:AM)</f>
        <v>0</v>
      </c>
    </row>
    <row r="16" spans="2:35" x14ac:dyDescent="0.2">
      <c r="B16" s="27" t="str">
        <v>1.4</v>
      </c>
      <c r="C16" s="28" t="str">
        <f t="shared" si="2"/>
        <v>Signals</v>
      </c>
      <c r="D16" s="29">
        <f t="shared" si="4"/>
        <v>4100000</v>
      </c>
      <c r="E16" s="24"/>
      <c r="F16" s="29">
        <f>SUBTOTAL(9,F17:F23)</f>
        <v>4100000</v>
      </c>
      <c r="G16" s="29">
        <f t="shared" ref="G16:AI16" si="7">SUBTOTAL(9,G17:G23)</f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7"/>
        <v>0</v>
      </c>
      <c r="P16" s="29">
        <f t="shared" si="7"/>
        <v>0</v>
      </c>
      <c r="Q16" s="29">
        <f t="shared" si="7"/>
        <v>0</v>
      </c>
      <c r="R16" s="29">
        <f t="shared" si="7"/>
        <v>0</v>
      </c>
      <c r="S16" s="29">
        <f t="shared" si="7"/>
        <v>0</v>
      </c>
      <c r="T16" s="29">
        <f t="shared" si="7"/>
        <v>0</v>
      </c>
      <c r="U16" s="29">
        <f t="shared" si="7"/>
        <v>0</v>
      </c>
      <c r="V16" s="29">
        <f t="shared" si="7"/>
        <v>0</v>
      </c>
      <c r="W16" s="29">
        <f t="shared" si="7"/>
        <v>0</v>
      </c>
      <c r="X16" s="29">
        <f t="shared" si="7"/>
        <v>0</v>
      </c>
      <c r="Y16" s="29">
        <f t="shared" si="7"/>
        <v>0</v>
      </c>
      <c r="Z16" s="29">
        <f t="shared" si="7"/>
        <v>0</v>
      </c>
      <c r="AA16" s="29">
        <f t="shared" si="7"/>
        <v>0</v>
      </c>
      <c r="AB16" s="29">
        <f t="shared" si="7"/>
        <v>0</v>
      </c>
      <c r="AC16" s="29">
        <f t="shared" si="7"/>
        <v>0</v>
      </c>
      <c r="AD16" s="29">
        <f t="shared" si="7"/>
        <v>0</v>
      </c>
      <c r="AE16" s="29">
        <f t="shared" si="7"/>
        <v>0</v>
      </c>
      <c r="AF16" s="29">
        <f t="shared" si="7"/>
        <v>0</v>
      </c>
      <c r="AG16" s="29">
        <f t="shared" si="7"/>
        <v>0</v>
      </c>
      <c r="AH16" s="29">
        <f t="shared" si="7"/>
        <v>0</v>
      </c>
      <c r="AI16" s="29">
        <f t="shared" si="7"/>
        <v>0</v>
      </c>
    </row>
    <row r="17" spans="2:35" x14ac:dyDescent="0.2">
      <c r="B17" s="30" t="str">
        <v>1.4.1</v>
      </c>
      <c r="C17" s="14" t="str">
        <f t="shared" si="2"/>
        <v>Crossing Signal at Fennel Street</v>
      </c>
      <c r="D17" s="31">
        <f t="shared" si="4"/>
        <v>250000</v>
      </c>
      <c r="E17" s="1"/>
      <c r="F17" s="29">
        <f>SUMIF(Parameters!$G:$G,$B17,Parameters!J:J)</f>
        <v>250000</v>
      </c>
      <c r="G17" s="29">
        <f>SUMIF(Parameters!$G:$G,$B17,Parameters!K:K)</f>
        <v>0</v>
      </c>
      <c r="H17" s="29">
        <f>SUMIF(Parameters!$G:$G,$B17,Parameters!L:L)</f>
        <v>0</v>
      </c>
      <c r="I17" s="29">
        <f>SUMIF(Parameters!$G:$G,$B17,Parameters!M:M)</f>
        <v>0</v>
      </c>
      <c r="J17" s="29">
        <f>SUMIF(Parameters!$G:$G,$B17,Parameters!N:N)</f>
        <v>0</v>
      </c>
      <c r="K17" s="29">
        <f>SUMIF(Parameters!$G:$G,$B17,Parameters!O:O)</f>
        <v>0</v>
      </c>
      <c r="L17" s="29">
        <f>SUMIF(Parameters!$G:$G,$B17,Parameters!P:P)</f>
        <v>0</v>
      </c>
      <c r="M17" s="29">
        <f>SUMIF(Parameters!$G:$G,$B17,Parameters!Q:Q)</f>
        <v>0</v>
      </c>
      <c r="N17" s="29">
        <f>SUMIF(Parameters!$G:$G,$B17,Parameters!R:R)</f>
        <v>0</v>
      </c>
      <c r="O17" s="29">
        <f>SUMIF(Parameters!$G:$G,$B17,Parameters!S:S)</f>
        <v>0</v>
      </c>
      <c r="P17" s="29">
        <f>SUMIF(Parameters!$G:$G,$B17,Parameters!T:T)</f>
        <v>0</v>
      </c>
      <c r="Q17" s="29">
        <f>SUMIF(Parameters!$G:$G,$B17,Parameters!U:U)</f>
        <v>0</v>
      </c>
      <c r="R17" s="29">
        <f>SUMIF(Parameters!$G:$G,$B17,Parameters!V:V)</f>
        <v>0</v>
      </c>
      <c r="S17" s="29">
        <f>SUMIF(Parameters!$G:$G,$B17,Parameters!W:W)</f>
        <v>0</v>
      </c>
      <c r="T17" s="29">
        <f>SUMIF(Parameters!$G:$G,$B17,Parameters!X:X)</f>
        <v>0</v>
      </c>
      <c r="U17" s="29">
        <f>SUMIF(Parameters!$G:$G,$B17,Parameters!Y:Y)</f>
        <v>0</v>
      </c>
      <c r="V17" s="29">
        <f>SUMIF(Parameters!$G:$G,$B17,Parameters!Z:Z)</f>
        <v>0</v>
      </c>
      <c r="W17" s="29">
        <f>SUMIF(Parameters!$G:$G,$B17,Parameters!AA:AA)</f>
        <v>0</v>
      </c>
      <c r="X17" s="29">
        <f>SUMIF(Parameters!$G:$G,$B17,Parameters!AB:AB)</f>
        <v>0</v>
      </c>
      <c r="Y17" s="29">
        <f>SUMIF(Parameters!$G:$G,$B17,Parameters!AC:AC)</f>
        <v>0</v>
      </c>
      <c r="Z17" s="29">
        <f>SUMIF(Parameters!$G:$G,$B17,Parameters!AD:AD)</f>
        <v>0</v>
      </c>
      <c r="AA17" s="29">
        <f>SUMIF(Parameters!$G:$G,$B17,Parameters!AE:AE)</f>
        <v>0</v>
      </c>
      <c r="AB17" s="29">
        <f>SUMIF(Parameters!$G:$G,$B17,Parameters!AF:AF)</f>
        <v>0</v>
      </c>
      <c r="AC17" s="29">
        <f>SUMIF(Parameters!$G:$G,$B17,Parameters!AG:AG)</f>
        <v>0</v>
      </c>
      <c r="AD17" s="29">
        <f>SUMIF(Parameters!$G:$G,$B17,Parameters!AH:AH)</f>
        <v>0</v>
      </c>
      <c r="AE17" s="29">
        <f>SUMIF(Parameters!$G:$G,$B17,Parameters!AI:AI)</f>
        <v>0</v>
      </c>
      <c r="AF17" s="29">
        <f>SUMIF(Parameters!$G:$G,$B17,Parameters!AJ:AJ)</f>
        <v>0</v>
      </c>
      <c r="AG17" s="29">
        <f>SUMIF(Parameters!$G:$G,$B17,Parameters!AK:AK)</f>
        <v>0</v>
      </c>
      <c r="AH17" s="29">
        <f>SUMIF(Parameters!$G:$G,$B17,Parameters!AL:AL)</f>
        <v>0</v>
      </c>
      <c r="AI17" s="29">
        <f>SUMIF(Parameters!$G:$G,$B17,Parameters!AM:AM)</f>
        <v>0</v>
      </c>
    </row>
    <row r="18" spans="2:35" x14ac:dyDescent="0.2">
      <c r="B18" s="30" t="str">
        <v>1.4.2</v>
      </c>
      <c r="C18" s="14" t="str">
        <f t="shared" si="2"/>
        <v>Crossing Signal at Medina Street</v>
      </c>
      <c r="D18" s="31">
        <f t="shared" si="4"/>
        <v>250000</v>
      </c>
      <c r="E18" s="1"/>
      <c r="F18" s="29">
        <f>SUMIF(Parameters!$G:$G,$B18,Parameters!J:J)</f>
        <v>250000</v>
      </c>
      <c r="G18" s="29">
        <f>SUMIF(Parameters!$G:$G,$B18,Parameters!K:K)</f>
        <v>0</v>
      </c>
      <c r="H18" s="29">
        <f>SUMIF(Parameters!$G:$G,$B18,Parameters!L:L)</f>
        <v>0</v>
      </c>
      <c r="I18" s="29">
        <f>SUMIF(Parameters!$G:$G,$B18,Parameters!M:M)</f>
        <v>0</v>
      </c>
      <c r="J18" s="29">
        <f>SUMIF(Parameters!$G:$G,$B18,Parameters!N:N)</f>
        <v>0</v>
      </c>
      <c r="K18" s="29">
        <f>SUMIF(Parameters!$G:$G,$B18,Parameters!O:O)</f>
        <v>0</v>
      </c>
      <c r="L18" s="29">
        <f>SUMIF(Parameters!$G:$G,$B18,Parameters!P:P)</f>
        <v>0</v>
      </c>
      <c r="M18" s="29">
        <f>SUMIF(Parameters!$G:$G,$B18,Parameters!Q:Q)</f>
        <v>0</v>
      </c>
      <c r="N18" s="29">
        <f>SUMIF(Parameters!$G:$G,$B18,Parameters!R:R)</f>
        <v>0</v>
      </c>
      <c r="O18" s="29">
        <f>SUMIF(Parameters!$G:$G,$B18,Parameters!S:S)</f>
        <v>0</v>
      </c>
      <c r="P18" s="29">
        <f>SUMIF(Parameters!$G:$G,$B18,Parameters!T:T)</f>
        <v>0</v>
      </c>
      <c r="Q18" s="29">
        <f>SUMIF(Parameters!$G:$G,$B18,Parameters!U:U)</f>
        <v>0</v>
      </c>
      <c r="R18" s="29">
        <f>SUMIF(Parameters!$G:$G,$B18,Parameters!V:V)</f>
        <v>0</v>
      </c>
      <c r="S18" s="29">
        <f>SUMIF(Parameters!$G:$G,$B18,Parameters!W:W)</f>
        <v>0</v>
      </c>
      <c r="T18" s="29">
        <f>SUMIF(Parameters!$G:$G,$B18,Parameters!X:X)</f>
        <v>0</v>
      </c>
      <c r="U18" s="29">
        <f>SUMIF(Parameters!$G:$G,$B18,Parameters!Y:Y)</f>
        <v>0</v>
      </c>
      <c r="V18" s="29">
        <f>SUMIF(Parameters!$G:$G,$B18,Parameters!Z:Z)</f>
        <v>0</v>
      </c>
      <c r="W18" s="29">
        <f>SUMIF(Parameters!$G:$G,$B18,Parameters!AA:AA)</f>
        <v>0</v>
      </c>
      <c r="X18" s="29">
        <f>SUMIF(Parameters!$G:$G,$B18,Parameters!AB:AB)</f>
        <v>0</v>
      </c>
      <c r="Y18" s="29">
        <f>SUMIF(Parameters!$G:$G,$B18,Parameters!AC:AC)</f>
        <v>0</v>
      </c>
      <c r="Z18" s="29">
        <f>SUMIF(Parameters!$G:$G,$B18,Parameters!AD:AD)</f>
        <v>0</v>
      </c>
      <c r="AA18" s="29">
        <f>SUMIF(Parameters!$G:$G,$B18,Parameters!AE:AE)</f>
        <v>0</v>
      </c>
      <c r="AB18" s="29">
        <f>SUMIF(Parameters!$G:$G,$B18,Parameters!AF:AF)</f>
        <v>0</v>
      </c>
      <c r="AC18" s="29">
        <f>SUMIF(Parameters!$G:$G,$B18,Parameters!AG:AG)</f>
        <v>0</v>
      </c>
      <c r="AD18" s="29">
        <f>SUMIF(Parameters!$G:$G,$B18,Parameters!AH:AH)</f>
        <v>0</v>
      </c>
      <c r="AE18" s="29">
        <f>SUMIF(Parameters!$G:$G,$B18,Parameters!AI:AI)</f>
        <v>0</v>
      </c>
      <c r="AF18" s="29">
        <f>SUMIF(Parameters!$G:$G,$B18,Parameters!AJ:AJ)</f>
        <v>0</v>
      </c>
      <c r="AG18" s="29">
        <f>SUMIF(Parameters!$G:$G,$B18,Parameters!AK:AK)</f>
        <v>0</v>
      </c>
      <c r="AH18" s="29">
        <f>SUMIF(Parameters!$G:$G,$B18,Parameters!AL:AL)</f>
        <v>0</v>
      </c>
      <c r="AI18" s="29">
        <f>SUMIF(Parameters!$G:$G,$B18,Parameters!AM:AM)</f>
        <v>0</v>
      </c>
    </row>
    <row r="19" spans="2:35" x14ac:dyDescent="0.2">
      <c r="B19" s="30" t="str">
        <v>1.4.3</v>
      </c>
      <c r="C19" s="14" t="str">
        <f t="shared" si="2"/>
        <v>Crossing Signal at Frio Street</v>
      </c>
      <c r="D19" s="31">
        <f t="shared" si="4"/>
        <v>250000</v>
      </c>
      <c r="E19" s="1"/>
      <c r="F19" s="29">
        <f>SUMIF(Parameters!$G:$G,$B19,Parameters!J:J)</f>
        <v>250000</v>
      </c>
      <c r="G19" s="29">
        <f>SUMIF(Parameters!$G:$G,$B19,Parameters!K:K)</f>
        <v>0</v>
      </c>
      <c r="H19" s="29">
        <f>SUMIF(Parameters!$G:$G,$B19,Parameters!L:L)</f>
        <v>0</v>
      </c>
      <c r="I19" s="29">
        <f>SUMIF(Parameters!$G:$G,$B19,Parameters!M:M)</f>
        <v>0</v>
      </c>
      <c r="J19" s="29">
        <f>SUMIF(Parameters!$G:$G,$B19,Parameters!N:N)</f>
        <v>0</v>
      </c>
      <c r="K19" s="29">
        <f>SUMIF(Parameters!$G:$G,$B19,Parameters!O:O)</f>
        <v>0</v>
      </c>
      <c r="L19" s="29">
        <f>SUMIF(Parameters!$G:$G,$B19,Parameters!P:P)</f>
        <v>0</v>
      </c>
      <c r="M19" s="29">
        <f>SUMIF(Parameters!$G:$G,$B19,Parameters!Q:Q)</f>
        <v>0</v>
      </c>
      <c r="N19" s="29">
        <f>SUMIF(Parameters!$G:$G,$B19,Parameters!R:R)</f>
        <v>0</v>
      </c>
      <c r="O19" s="29">
        <f>SUMIF(Parameters!$G:$G,$B19,Parameters!S:S)</f>
        <v>0</v>
      </c>
      <c r="P19" s="29">
        <f>SUMIF(Parameters!$G:$G,$B19,Parameters!T:T)</f>
        <v>0</v>
      </c>
      <c r="Q19" s="29">
        <f>SUMIF(Parameters!$G:$G,$B19,Parameters!U:U)</f>
        <v>0</v>
      </c>
      <c r="R19" s="29">
        <f>SUMIF(Parameters!$G:$G,$B19,Parameters!V:V)</f>
        <v>0</v>
      </c>
      <c r="S19" s="29">
        <f>SUMIF(Parameters!$G:$G,$B19,Parameters!W:W)</f>
        <v>0</v>
      </c>
      <c r="T19" s="29">
        <f>SUMIF(Parameters!$G:$G,$B19,Parameters!X:X)</f>
        <v>0</v>
      </c>
      <c r="U19" s="29">
        <f>SUMIF(Parameters!$G:$G,$B19,Parameters!Y:Y)</f>
        <v>0</v>
      </c>
      <c r="V19" s="29">
        <f>SUMIF(Parameters!$G:$G,$B19,Parameters!Z:Z)</f>
        <v>0</v>
      </c>
      <c r="W19" s="29">
        <f>SUMIF(Parameters!$G:$G,$B19,Parameters!AA:AA)</f>
        <v>0</v>
      </c>
      <c r="X19" s="29">
        <f>SUMIF(Parameters!$G:$G,$B19,Parameters!AB:AB)</f>
        <v>0</v>
      </c>
      <c r="Y19" s="29">
        <f>SUMIF(Parameters!$G:$G,$B19,Parameters!AC:AC)</f>
        <v>0</v>
      </c>
      <c r="Z19" s="29">
        <f>SUMIF(Parameters!$G:$G,$B19,Parameters!AD:AD)</f>
        <v>0</v>
      </c>
      <c r="AA19" s="29">
        <f>SUMIF(Parameters!$G:$G,$B19,Parameters!AE:AE)</f>
        <v>0</v>
      </c>
      <c r="AB19" s="29">
        <f>SUMIF(Parameters!$G:$G,$B19,Parameters!AF:AF)</f>
        <v>0</v>
      </c>
      <c r="AC19" s="29">
        <f>SUMIF(Parameters!$G:$G,$B19,Parameters!AG:AG)</f>
        <v>0</v>
      </c>
      <c r="AD19" s="29">
        <f>SUMIF(Parameters!$G:$G,$B19,Parameters!AH:AH)</f>
        <v>0</v>
      </c>
      <c r="AE19" s="29">
        <f>SUMIF(Parameters!$G:$G,$B19,Parameters!AI:AI)</f>
        <v>0</v>
      </c>
      <c r="AF19" s="29">
        <f>SUMIF(Parameters!$G:$G,$B19,Parameters!AJ:AJ)</f>
        <v>0</v>
      </c>
      <c r="AG19" s="29">
        <f>SUMIF(Parameters!$G:$G,$B19,Parameters!AK:AK)</f>
        <v>0</v>
      </c>
      <c r="AH19" s="29">
        <f>SUMIF(Parameters!$G:$G,$B19,Parameters!AL:AL)</f>
        <v>0</v>
      </c>
      <c r="AI19" s="29">
        <f>SUMIF(Parameters!$G:$G,$B19,Parameters!AM:AM)</f>
        <v>0</v>
      </c>
    </row>
    <row r="20" spans="2:35" x14ac:dyDescent="0.2">
      <c r="B20" s="30" t="str">
        <v>1.4.4</v>
      </c>
      <c r="C20" s="14" t="str">
        <f t="shared" si="2"/>
        <v>Crossing Signal at Manch Street</v>
      </c>
      <c r="D20" s="31">
        <f t="shared" si="4"/>
        <v>250000</v>
      </c>
      <c r="E20" s="1"/>
      <c r="F20" s="29">
        <f>SUMIF(Parameters!$G:$G,$B20,Parameters!J:J)</f>
        <v>250000</v>
      </c>
      <c r="G20" s="29">
        <f>SUMIF(Parameters!$G:$G,$B20,Parameters!K:K)</f>
        <v>0</v>
      </c>
      <c r="H20" s="29">
        <f>SUMIF(Parameters!$G:$G,$B20,Parameters!L:L)</f>
        <v>0</v>
      </c>
      <c r="I20" s="29">
        <f>SUMIF(Parameters!$G:$G,$B20,Parameters!M:M)</f>
        <v>0</v>
      </c>
      <c r="J20" s="29">
        <f>SUMIF(Parameters!$G:$G,$B20,Parameters!N:N)</f>
        <v>0</v>
      </c>
      <c r="K20" s="29">
        <f>SUMIF(Parameters!$G:$G,$B20,Parameters!O:O)</f>
        <v>0</v>
      </c>
      <c r="L20" s="29">
        <f>SUMIF(Parameters!$G:$G,$B20,Parameters!P:P)</f>
        <v>0</v>
      </c>
      <c r="M20" s="29">
        <f>SUMIF(Parameters!$G:$G,$B20,Parameters!Q:Q)</f>
        <v>0</v>
      </c>
      <c r="N20" s="29">
        <f>SUMIF(Parameters!$G:$G,$B20,Parameters!R:R)</f>
        <v>0</v>
      </c>
      <c r="O20" s="29">
        <f>SUMIF(Parameters!$G:$G,$B20,Parameters!S:S)</f>
        <v>0</v>
      </c>
      <c r="P20" s="29">
        <f>SUMIF(Parameters!$G:$G,$B20,Parameters!T:T)</f>
        <v>0</v>
      </c>
      <c r="Q20" s="29">
        <f>SUMIF(Parameters!$G:$G,$B20,Parameters!U:U)</f>
        <v>0</v>
      </c>
      <c r="R20" s="29">
        <f>SUMIF(Parameters!$G:$G,$B20,Parameters!V:V)</f>
        <v>0</v>
      </c>
      <c r="S20" s="29">
        <f>SUMIF(Parameters!$G:$G,$B20,Parameters!W:W)</f>
        <v>0</v>
      </c>
      <c r="T20" s="29">
        <f>SUMIF(Parameters!$G:$G,$B20,Parameters!X:X)</f>
        <v>0</v>
      </c>
      <c r="U20" s="29">
        <f>SUMIF(Parameters!$G:$G,$B20,Parameters!Y:Y)</f>
        <v>0</v>
      </c>
      <c r="V20" s="29">
        <f>SUMIF(Parameters!$G:$G,$B20,Parameters!Z:Z)</f>
        <v>0</v>
      </c>
      <c r="W20" s="29">
        <f>SUMIF(Parameters!$G:$G,$B20,Parameters!AA:AA)</f>
        <v>0</v>
      </c>
      <c r="X20" s="29">
        <f>SUMIF(Parameters!$G:$G,$B20,Parameters!AB:AB)</f>
        <v>0</v>
      </c>
      <c r="Y20" s="29">
        <f>SUMIF(Parameters!$G:$G,$B20,Parameters!AC:AC)</f>
        <v>0</v>
      </c>
      <c r="Z20" s="29">
        <f>SUMIF(Parameters!$G:$G,$B20,Parameters!AD:AD)</f>
        <v>0</v>
      </c>
      <c r="AA20" s="29">
        <f>SUMIF(Parameters!$G:$G,$B20,Parameters!AE:AE)</f>
        <v>0</v>
      </c>
      <c r="AB20" s="29">
        <f>SUMIF(Parameters!$G:$G,$B20,Parameters!AF:AF)</f>
        <v>0</v>
      </c>
      <c r="AC20" s="29">
        <f>SUMIF(Parameters!$G:$G,$B20,Parameters!AG:AG)</f>
        <v>0</v>
      </c>
      <c r="AD20" s="29">
        <f>SUMIF(Parameters!$G:$G,$B20,Parameters!AH:AH)</f>
        <v>0</v>
      </c>
      <c r="AE20" s="29">
        <f>SUMIF(Parameters!$G:$G,$B20,Parameters!AI:AI)</f>
        <v>0</v>
      </c>
      <c r="AF20" s="29">
        <f>SUMIF(Parameters!$G:$G,$B20,Parameters!AJ:AJ)</f>
        <v>0</v>
      </c>
      <c r="AG20" s="29">
        <f>SUMIF(Parameters!$G:$G,$B20,Parameters!AK:AK)</f>
        <v>0</v>
      </c>
      <c r="AH20" s="29">
        <f>SUMIF(Parameters!$G:$G,$B20,Parameters!AL:AL)</f>
        <v>0</v>
      </c>
      <c r="AI20" s="29">
        <f>SUMIF(Parameters!$G:$G,$B20,Parameters!AM:AM)</f>
        <v>0</v>
      </c>
    </row>
    <row r="21" spans="2:35" x14ac:dyDescent="0.2">
      <c r="B21" s="30" t="str">
        <v>1.4.5</v>
      </c>
      <c r="C21" s="14" t="str">
        <f t="shared" si="2"/>
        <v>Crossing Signal at Plant Road</v>
      </c>
      <c r="D21" s="31">
        <f t="shared" si="4"/>
        <v>50000</v>
      </c>
      <c r="E21" s="1"/>
      <c r="F21" s="29">
        <f>SUMIF(Parameters!$G:$G,$B21,Parameters!J:J)</f>
        <v>50000</v>
      </c>
      <c r="G21" s="29">
        <f>SUMIF(Parameters!$G:$G,$B21,Parameters!K:K)</f>
        <v>0</v>
      </c>
      <c r="H21" s="29">
        <f>SUMIF(Parameters!$G:$G,$B21,Parameters!L:L)</f>
        <v>0</v>
      </c>
      <c r="I21" s="29">
        <f>SUMIF(Parameters!$G:$G,$B21,Parameters!M:M)</f>
        <v>0</v>
      </c>
      <c r="J21" s="29">
        <f>SUMIF(Parameters!$G:$G,$B21,Parameters!N:N)</f>
        <v>0</v>
      </c>
      <c r="K21" s="29">
        <f>SUMIF(Parameters!$G:$G,$B21,Parameters!O:O)</f>
        <v>0</v>
      </c>
      <c r="L21" s="29">
        <f>SUMIF(Parameters!$G:$G,$B21,Parameters!P:P)</f>
        <v>0</v>
      </c>
      <c r="M21" s="29">
        <f>SUMIF(Parameters!$G:$G,$B21,Parameters!Q:Q)</f>
        <v>0</v>
      </c>
      <c r="N21" s="29">
        <f>SUMIF(Parameters!$G:$G,$B21,Parameters!R:R)</f>
        <v>0</v>
      </c>
      <c r="O21" s="29">
        <f>SUMIF(Parameters!$G:$G,$B21,Parameters!S:S)</f>
        <v>0</v>
      </c>
      <c r="P21" s="29">
        <f>SUMIF(Parameters!$G:$G,$B21,Parameters!T:T)</f>
        <v>0</v>
      </c>
      <c r="Q21" s="29">
        <f>SUMIF(Parameters!$G:$G,$B21,Parameters!U:U)</f>
        <v>0</v>
      </c>
      <c r="R21" s="29">
        <f>SUMIF(Parameters!$G:$G,$B21,Parameters!V:V)</f>
        <v>0</v>
      </c>
      <c r="S21" s="29">
        <f>SUMIF(Parameters!$G:$G,$B21,Parameters!W:W)</f>
        <v>0</v>
      </c>
      <c r="T21" s="29">
        <f>SUMIF(Parameters!$G:$G,$B21,Parameters!X:X)</f>
        <v>0</v>
      </c>
      <c r="U21" s="29">
        <f>SUMIF(Parameters!$G:$G,$B21,Parameters!Y:Y)</f>
        <v>0</v>
      </c>
      <c r="V21" s="29">
        <f>SUMIF(Parameters!$G:$G,$B21,Parameters!Z:Z)</f>
        <v>0</v>
      </c>
      <c r="W21" s="29">
        <f>SUMIF(Parameters!$G:$G,$B21,Parameters!AA:AA)</f>
        <v>0</v>
      </c>
      <c r="X21" s="29">
        <f>SUMIF(Parameters!$G:$G,$B21,Parameters!AB:AB)</f>
        <v>0</v>
      </c>
      <c r="Y21" s="29">
        <f>SUMIF(Parameters!$G:$G,$B21,Parameters!AC:AC)</f>
        <v>0</v>
      </c>
      <c r="Z21" s="29">
        <f>SUMIF(Parameters!$G:$G,$B21,Parameters!AD:AD)</f>
        <v>0</v>
      </c>
      <c r="AA21" s="29">
        <f>SUMIF(Parameters!$G:$G,$B21,Parameters!AE:AE)</f>
        <v>0</v>
      </c>
      <c r="AB21" s="29">
        <f>SUMIF(Parameters!$G:$G,$B21,Parameters!AF:AF)</f>
        <v>0</v>
      </c>
      <c r="AC21" s="29">
        <f>SUMIF(Parameters!$G:$G,$B21,Parameters!AG:AG)</f>
        <v>0</v>
      </c>
      <c r="AD21" s="29">
        <f>SUMIF(Parameters!$G:$G,$B21,Parameters!AH:AH)</f>
        <v>0</v>
      </c>
      <c r="AE21" s="29">
        <f>SUMIF(Parameters!$G:$G,$B21,Parameters!AI:AI)</f>
        <v>0</v>
      </c>
      <c r="AF21" s="29">
        <f>SUMIF(Parameters!$G:$G,$B21,Parameters!AJ:AJ)</f>
        <v>0</v>
      </c>
      <c r="AG21" s="29">
        <f>SUMIF(Parameters!$G:$G,$B21,Parameters!AK:AK)</f>
        <v>0</v>
      </c>
      <c r="AH21" s="29">
        <f>SUMIF(Parameters!$G:$G,$B21,Parameters!AL:AL)</f>
        <v>0</v>
      </c>
      <c r="AI21" s="29">
        <f>SUMIF(Parameters!$G:$G,$B21,Parameters!AM:AM)</f>
        <v>0</v>
      </c>
    </row>
    <row r="22" spans="2:35" x14ac:dyDescent="0.2">
      <c r="B22" s="30" t="str">
        <v>1.4.6</v>
      </c>
      <c r="C22" s="14" t="str">
        <f t="shared" si="2"/>
        <v>Crossing Signal at Cemetary Road</v>
      </c>
      <c r="D22" s="31">
        <f t="shared" si="4"/>
        <v>50000</v>
      </c>
      <c r="E22" s="1"/>
      <c r="F22" s="29">
        <f>SUMIF(Parameters!$G:$G,$B22,Parameters!J:J)</f>
        <v>50000</v>
      </c>
      <c r="G22" s="29">
        <f>SUMIF(Parameters!$G:$G,$B22,Parameters!K:K)</f>
        <v>0</v>
      </c>
      <c r="H22" s="29">
        <f>SUMIF(Parameters!$G:$G,$B22,Parameters!L:L)</f>
        <v>0</v>
      </c>
      <c r="I22" s="29">
        <f>SUMIF(Parameters!$G:$G,$B22,Parameters!M:M)</f>
        <v>0</v>
      </c>
      <c r="J22" s="29">
        <f>SUMIF(Parameters!$G:$G,$B22,Parameters!N:N)</f>
        <v>0</v>
      </c>
      <c r="K22" s="29">
        <f>SUMIF(Parameters!$G:$G,$B22,Parameters!O:O)</f>
        <v>0</v>
      </c>
      <c r="L22" s="29">
        <f>SUMIF(Parameters!$G:$G,$B22,Parameters!P:P)</f>
        <v>0</v>
      </c>
      <c r="M22" s="29">
        <f>SUMIF(Parameters!$G:$G,$B22,Parameters!Q:Q)</f>
        <v>0</v>
      </c>
      <c r="N22" s="29">
        <f>SUMIF(Parameters!$G:$G,$B22,Parameters!R:R)</f>
        <v>0</v>
      </c>
      <c r="O22" s="29">
        <f>SUMIF(Parameters!$G:$G,$B22,Parameters!S:S)</f>
        <v>0</v>
      </c>
      <c r="P22" s="29">
        <f>SUMIF(Parameters!$G:$G,$B22,Parameters!T:T)</f>
        <v>0</v>
      </c>
      <c r="Q22" s="29">
        <f>SUMIF(Parameters!$G:$G,$B22,Parameters!U:U)</f>
        <v>0</v>
      </c>
      <c r="R22" s="29">
        <f>SUMIF(Parameters!$G:$G,$B22,Parameters!V:V)</f>
        <v>0</v>
      </c>
      <c r="S22" s="29">
        <f>SUMIF(Parameters!$G:$G,$B22,Parameters!W:W)</f>
        <v>0</v>
      </c>
      <c r="T22" s="29">
        <f>SUMIF(Parameters!$G:$G,$B22,Parameters!X:X)</f>
        <v>0</v>
      </c>
      <c r="U22" s="29">
        <f>SUMIF(Parameters!$G:$G,$B22,Parameters!Y:Y)</f>
        <v>0</v>
      </c>
      <c r="V22" s="29">
        <f>SUMIF(Parameters!$G:$G,$B22,Parameters!Z:Z)</f>
        <v>0</v>
      </c>
      <c r="W22" s="29">
        <f>SUMIF(Parameters!$G:$G,$B22,Parameters!AA:AA)</f>
        <v>0</v>
      </c>
      <c r="X22" s="29">
        <f>SUMIF(Parameters!$G:$G,$B22,Parameters!AB:AB)</f>
        <v>0</v>
      </c>
      <c r="Y22" s="29">
        <f>SUMIF(Parameters!$G:$G,$B22,Parameters!AC:AC)</f>
        <v>0</v>
      </c>
      <c r="Z22" s="29">
        <f>SUMIF(Parameters!$G:$G,$B22,Parameters!AD:AD)</f>
        <v>0</v>
      </c>
      <c r="AA22" s="29">
        <f>SUMIF(Parameters!$G:$G,$B22,Parameters!AE:AE)</f>
        <v>0</v>
      </c>
      <c r="AB22" s="29">
        <f>SUMIF(Parameters!$G:$G,$B22,Parameters!AF:AF)</f>
        <v>0</v>
      </c>
      <c r="AC22" s="29">
        <f>SUMIF(Parameters!$G:$G,$B22,Parameters!AG:AG)</f>
        <v>0</v>
      </c>
      <c r="AD22" s="29">
        <f>SUMIF(Parameters!$G:$G,$B22,Parameters!AH:AH)</f>
        <v>0</v>
      </c>
      <c r="AE22" s="29">
        <f>SUMIF(Parameters!$G:$G,$B22,Parameters!AI:AI)</f>
        <v>0</v>
      </c>
      <c r="AF22" s="29">
        <f>SUMIF(Parameters!$G:$G,$B22,Parameters!AJ:AJ)</f>
        <v>0</v>
      </c>
      <c r="AG22" s="29">
        <f>SUMIF(Parameters!$G:$G,$B22,Parameters!AK:AK)</f>
        <v>0</v>
      </c>
      <c r="AH22" s="29">
        <f>SUMIF(Parameters!$G:$G,$B22,Parameters!AL:AL)</f>
        <v>0</v>
      </c>
      <c r="AI22" s="29">
        <f>SUMIF(Parameters!$G:$G,$B22,Parameters!AM:AM)</f>
        <v>0</v>
      </c>
    </row>
    <row r="23" spans="2:35" x14ac:dyDescent="0.2">
      <c r="B23" s="30" t="str">
        <v>1.4.7</v>
      </c>
      <c r="C23" s="14" t="str">
        <f t="shared" si="2"/>
        <v>Signal Work</v>
      </c>
      <c r="D23" s="31">
        <f t="shared" si="4"/>
        <v>3000000</v>
      </c>
      <c r="E23" s="1"/>
      <c r="F23" s="29">
        <f>SUMIF(Parameters!$G:$G,$B23,Parameters!J:J)</f>
        <v>3000000</v>
      </c>
      <c r="G23" s="29">
        <f>SUMIF(Parameters!$G:$G,$B23,Parameters!K:K)</f>
        <v>0</v>
      </c>
      <c r="H23" s="29">
        <f>SUMIF(Parameters!$G:$G,$B23,Parameters!L:L)</f>
        <v>0</v>
      </c>
      <c r="I23" s="29">
        <f>SUMIF(Parameters!$G:$G,$B23,Parameters!M:M)</f>
        <v>0</v>
      </c>
      <c r="J23" s="29">
        <f>SUMIF(Parameters!$G:$G,$B23,Parameters!N:N)</f>
        <v>0</v>
      </c>
      <c r="K23" s="29">
        <f>SUMIF(Parameters!$G:$G,$B23,Parameters!O:O)</f>
        <v>0</v>
      </c>
      <c r="L23" s="29">
        <f>SUMIF(Parameters!$G:$G,$B23,Parameters!P:P)</f>
        <v>0</v>
      </c>
      <c r="M23" s="29">
        <f>SUMIF(Parameters!$G:$G,$B23,Parameters!Q:Q)</f>
        <v>0</v>
      </c>
      <c r="N23" s="29">
        <f>SUMIF(Parameters!$G:$G,$B23,Parameters!R:R)</f>
        <v>0</v>
      </c>
      <c r="O23" s="29">
        <f>SUMIF(Parameters!$G:$G,$B23,Parameters!S:S)</f>
        <v>0</v>
      </c>
      <c r="P23" s="29">
        <f>SUMIF(Parameters!$G:$G,$B23,Parameters!T:T)</f>
        <v>0</v>
      </c>
      <c r="Q23" s="29">
        <f>SUMIF(Parameters!$G:$G,$B23,Parameters!U:U)</f>
        <v>0</v>
      </c>
      <c r="R23" s="29">
        <f>SUMIF(Parameters!$G:$G,$B23,Parameters!V:V)</f>
        <v>0</v>
      </c>
      <c r="S23" s="29">
        <f>SUMIF(Parameters!$G:$G,$B23,Parameters!W:W)</f>
        <v>0</v>
      </c>
      <c r="T23" s="29">
        <f>SUMIF(Parameters!$G:$G,$B23,Parameters!X:X)</f>
        <v>0</v>
      </c>
      <c r="U23" s="29">
        <f>SUMIF(Parameters!$G:$G,$B23,Parameters!Y:Y)</f>
        <v>0</v>
      </c>
      <c r="V23" s="29">
        <f>SUMIF(Parameters!$G:$G,$B23,Parameters!Z:Z)</f>
        <v>0</v>
      </c>
      <c r="W23" s="29">
        <f>SUMIF(Parameters!$G:$G,$B23,Parameters!AA:AA)</f>
        <v>0</v>
      </c>
      <c r="X23" s="29">
        <f>SUMIF(Parameters!$G:$G,$B23,Parameters!AB:AB)</f>
        <v>0</v>
      </c>
      <c r="Y23" s="29">
        <f>SUMIF(Parameters!$G:$G,$B23,Parameters!AC:AC)</f>
        <v>0</v>
      </c>
      <c r="Z23" s="29">
        <f>SUMIF(Parameters!$G:$G,$B23,Parameters!AD:AD)</f>
        <v>0</v>
      </c>
      <c r="AA23" s="29">
        <f>SUMIF(Parameters!$G:$G,$B23,Parameters!AE:AE)</f>
        <v>0</v>
      </c>
      <c r="AB23" s="29">
        <f>SUMIF(Parameters!$G:$G,$B23,Parameters!AF:AF)</f>
        <v>0</v>
      </c>
      <c r="AC23" s="29">
        <f>SUMIF(Parameters!$G:$G,$B23,Parameters!AG:AG)</f>
        <v>0</v>
      </c>
      <c r="AD23" s="29">
        <f>SUMIF(Parameters!$G:$G,$B23,Parameters!AH:AH)</f>
        <v>0</v>
      </c>
      <c r="AE23" s="29">
        <f>SUMIF(Parameters!$G:$G,$B23,Parameters!AI:AI)</f>
        <v>0</v>
      </c>
      <c r="AF23" s="29">
        <f>SUMIF(Parameters!$G:$G,$B23,Parameters!AJ:AJ)</f>
        <v>0</v>
      </c>
      <c r="AG23" s="29">
        <f>SUMIF(Parameters!$G:$G,$B23,Parameters!AK:AK)</f>
        <v>0</v>
      </c>
      <c r="AH23" s="29">
        <f>SUMIF(Parameters!$G:$G,$B23,Parameters!AL:AL)</f>
        <v>0</v>
      </c>
      <c r="AI23" s="29">
        <f>SUMIF(Parameters!$G:$G,$B23,Parameters!AM:AM)</f>
        <v>0</v>
      </c>
    </row>
    <row r="24" spans="2:35" x14ac:dyDescent="0.2">
      <c r="B24" s="27" t="str">
        <v>1.5</v>
      </c>
      <c r="C24" s="28" t="str">
        <f t="shared" si="2"/>
        <v>Miscellaneous</v>
      </c>
      <c r="D24" s="29">
        <f t="shared" si="4"/>
        <v>5775000</v>
      </c>
      <c r="E24" s="24"/>
      <c r="F24" s="29">
        <f>SUBTOTAL(9,F25:F31)</f>
        <v>5775000</v>
      </c>
      <c r="G24" s="29">
        <f t="shared" ref="G24:AI24" si="8">SUBTOTAL(9,G25:G31)</f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8"/>
        <v>0</v>
      </c>
      <c r="P24" s="29">
        <f t="shared" si="8"/>
        <v>0</v>
      </c>
      <c r="Q24" s="29">
        <f t="shared" si="8"/>
        <v>0</v>
      </c>
      <c r="R24" s="29">
        <f t="shared" si="8"/>
        <v>0</v>
      </c>
      <c r="S24" s="29">
        <f t="shared" si="8"/>
        <v>0</v>
      </c>
      <c r="T24" s="29">
        <f t="shared" si="8"/>
        <v>0</v>
      </c>
      <c r="U24" s="29">
        <f t="shared" si="8"/>
        <v>0</v>
      </c>
      <c r="V24" s="29">
        <f t="shared" si="8"/>
        <v>0</v>
      </c>
      <c r="W24" s="29">
        <f t="shared" si="8"/>
        <v>0</v>
      </c>
      <c r="X24" s="29">
        <f t="shared" si="8"/>
        <v>0</v>
      </c>
      <c r="Y24" s="29">
        <f t="shared" si="8"/>
        <v>0</v>
      </c>
      <c r="Z24" s="29">
        <f t="shared" si="8"/>
        <v>0</v>
      </c>
      <c r="AA24" s="29">
        <f t="shared" si="8"/>
        <v>0</v>
      </c>
      <c r="AB24" s="29">
        <f t="shared" si="8"/>
        <v>0</v>
      </c>
      <c r="AC24" s="29">
        <f t="shared" si="8"/>
        <v>0</v>
      </c>
      <c r="AD24" s="29">
        <f t="shared" si="8"/>
        <v>0</v>
      </c>
      <c r="AE24" s="29">
        <f t="shared" si="8"/>
        <v>0</v>
      </c>
      <c r="AF24" s="29">
        <f t="shared" si="8"/>
        <v>0</v>
      </c>
      <c r="AG24" s="29">
        <f t="shared" si="8"/>
        <v>0</v>
      </c>
      <c r="AH24" s="29">
        <f t="shared" si="8"/>
        <v>0</v>
      </c>
      <c r="AI24" s="29">
        <f t="shared" si="8"/>
        <v>0</v>
      </c>
    </row>
    <row r="25" spans="2:35" x14ac:dyDescent="0.2">
      <c r="B25" s="30" t="str">
        <v>1.5.1</v>
      </c>
      <c r="C25" s="14" t="str">
        <f t="shared" si="2"/>
        <v>Extend Pipe Culverts (36" HDPE)</v>
      </c>
      <c r="D25" s="31">
        <f t="shared" si="4"/>
        <v>225000</v>
      </c>
      <c r="E25" s="1"/>
      <c r="F25" s="29">
        <f>SUMIF(Parameters!$G:$G,$B25,Parameters!J:J)</f>
        <v>225000</v>
      </c>
      <c r="G25" s="29">
        <f>SUMIF(Parameters!$G:$G,$B25,Parameters!K:K)</f>
        <v>0</v>
      </c>
      <c r="H25" s="29">
        <f>SUMIF(Parameters!$G:$G,$B25,Parameters!L:L)</f>
        <v>0</v>
      </c>
      <c r="I25" s="29">
        <f>SUMIF(Parameters!$G:$G,$B25,Parameters!M:M)</f>
        <v>0</v>
      </c>
      <c r="J25" s="29">
        <f>SUMIF(Parameters!$G:$G,$B25,Parameters!N:N)</f>
        <v>0</v>
      </c>
      <c r="K25" s="29">
        <f>SUMIF(Parameters!$G:$G,$B25,Parameters!O:O)</f>
        <v>0</v>
      </c>
      <c r="L25" s="29">
        <f>SUMIF(Parameters!$G:$G,$B25,Parameters!P:P)</f>
        <v>0</v>
      </c>
      <c r="M25" s="29">
        <f>SUMIF(Parameters!$G:$G,$B25,Parameters!Q:Q)</f>
        <v>0</v>
      </c>
      <c r="N25" s="29">
        <f>SUMIF(Parameters!$G:$G,$B25,Parameters!R:R)</f>
        <v>0</v>
      </c>
      <c r="O25" s="29">
        <f>SUMIF(Parameters!$G:$G,$B25,Parameters!S:S)</f>
        <v>0</v>
      </c>
      <c r="P25" s="29">
        <f>SUMIF(Parameters!$G:$G,$B25,Parameters!T:T)</f>
        <v>0</v>
      </c>
      <c r="Q25" s="29">
        <f>SUMIF(Parameters!$G:$G,$B25,Parameters!U:U)</f>
        <v>0</v>
      </c>
      <c r="R25" s="29">
        <f>SUMIF(Parameters!$G:$G,$B25,Parameters!V:V)</f>
        <v>0</v>
      </c>
      <c r="S25" s="29">
        <f>SUMIF(Parameters!$G:$G,$B25,Parameters!W:W)</f>
        <v>0</v>
      </c>
      <c r="T25" s="29">
        <f>SUMIF(Parameters!$G:$G,$B25,Parameters!X:X)</f>
        <v>0</v>
      </c>
      <c r="U25" s="29">
        <f>SUMIF(Parameters!$G:$G,$B25,Parameters!Y:Y)</f>
        <v>0</v>
      </c>
      <c r="V25" s="29">
        <f>SUMIF(Parameters!$G:$G,$B25,Parameters!Z:Z)</f>
        <v>0</v>
      </c>
      <c r="W25" s="29">
        <f>SUMIF(Parameters!$G:$G,$B25,Parameters!AA:AA)</f>
        <v>0</v>
      </c>
      <c r="X25" s="29">
        <f>SUMIF(Parameters!$G:$G,$B25,Parameters!AB:AB)</f>
        <v>0</v>
      </c>
      <c r="Y25" s="29">
        <f>SUMIF(Parameters!$G:$G,$B25,Parameters!AC:AC)</f>
        <v>0</v>
      </c>
      <c r="Z25" s="29">
        <f>SUMIF(Parameters!$G:$G,$B25,Parameters!AD:AD)</f>
        <v>0</v>
      </c>
      <c r="AA25" s="29">
        <f>SUMIF(Parameters!$G:$G,$B25,Parameters!AE:AE)</f>
        <v>0</v>
      </c>
      <c r="AB25" s="29">
        <f>SUMIF(Parameters!$G:$G,$B25,Parameters!AF:AF)</f>
        <v>0</v>
      </c>
      <c r="AC25" s="29">
        <f>SUMIF(Parameters!$G:$G,$B25,Parameters!AG:AG)</f>
        <v>0</v>
      </c>
      <c r="AD25" s="29">
        <f>SUMIF(Parameters!$G:$G,$B25,Parameters!AH:AH)</f>
        <v>0</v>
      </c>
      <c r="AE25" s="29">
        <f>SUMIF(Parameters!$G:$G,$B25,Parameters!AI:AI)</f>
        <v>0</v>
      </c>
      <c r="AF25" s="29">
        <f>SUMIF(Parameters!$G:$G,$B25,Parameters!AJ:AJ)</f>
        <v>0</v>
      </c>
      <c r="AG25" s="29">
        <f>SUMIF(Parameters!$G:$G,$B25,Parameters!AK:AK)</f>
        <v>0</v>
      </c>
      <c r="AH25" s="29">
        <f>SUMIF(Parameters!$G:$G,$B25,Parameters!AL:AL)</f>
        <v>0</v>
      </c>
      <c r="AI25" s="29">
        <f>SUMIF(Parameters!$G:$G,$B25,Parameters!AM:AM)</f>
        <v>0</v>
      </c>
    </row>
    <row r="26" spans="2:35" x14ac:dyDescent="0.2">
      <c r="B26" s="30" t="str">
        <v>1.5.2</v>
      </c>
      <c r="C26" s="14" t="str">
        <f t="shared" si="2"/>
        <v>Remove Existing Street Crossing</v>
      </c>
      <c r="D26" s="31">
        <f t="shared" si="4"/>
        <v>200000</v>
      </c>
      <c r="E26" s="1"/>
      <c r="F26" s="29">
        <f>SUMIF(Parameters!$G:$G,$B26,Parameters!J:J)</f>
        <v>200000</v>
      </c>
      <c r="G26" s="29">
        <f>SUMIF(Parameters!$G:$G,$B26,Parameters!K:K)</f>
        <v>0</v>
      </c>
      <c r="H26" s="29">
        <f>SUMIF(Parameters!$G:$G,$B26,Parameters!L:L)</f>
        <v>0</v>
      </c>
      <c r="I26" s="29">
        <f>SUMIF(Parameters!$G:$G,$B26,Parameters!M:M)</f>
        <v>0</v>
      </c>
      <c r="J26" s="29">
        <f>SUMIF(Parameters!$G:$G,$B26,Parameters!N:N)</f>
        <v>0</v>
      </c>
      <c r="K26" s="29">
        <f>SUMIF(Parameters!$G:$G,$B26,Parameters!O:O)</f>
        <v>0</v>
      </c>
      <c r="L26" s="29">
        <f>SUMIF(Parameters!$G:$G,$B26,Parameters!P:P)</f>
        <v>0</v>
      </c>
      <c r="M26" s="29">
        <f>SUMIF(Parameters!$G:$G,$B26,Parameters!Q:Q)</f>
        <v>0</v>
      </c>
      <c r="N26" s="29">
        <f>SUMIF(Parameters!$G:$G,$B26,Parameters!R:R)</f>
        <v>0</v>
      </c>
      <c r="O26" s="29">
        <f>SUMIF(Parameters!$G:$G,$B26,Parameters!S:S)</f>
        <v>0</v>
      </c>
      <c r="P26" s="29">
        <f>SUMIF(Parameters!$G:$G,$B26,Parameters!T:T)</f>
        <v>0</v>
      </c>
      <c r="Q26" s="29">
        <f>SUMIF(Parameters!$G:$G,$B26,Parameters!U:U)</f>
        <v>0</v>
      </c>
      <c r="R26" s="29">
        <f>SUMIF(Parameters!$G:$G,$B26,Parameters!V:V)</f>
        <v>0</v>
      </c>
      <c r="S26" s="29">
        <f>SUMIF(Parameters!$G:$G,$B26,Parameters!W:W)</f>
        <v>0</v>
      </c>
      <c r="T26" s="29">
        <f>SUMIF(Parameters!$G:$G,$B26,Parameters!X:X)</f>
        <v>0</v>
      </c>
      <c r="U26" s="29">
        <f>SUMIF(Parameters!$G:$G,$B26,Parameters!Y:Y)</f>
        <v>0</v>
      </c>
      <c r="V26" s="29">
        <f>SUMIF(Parameters!$G:$G,$B26,Parameters!Z:Z)</f>
        <v>0</v>
      </c>
      <c r="W26" s="29">
        <f>SUMIF(Parameters!$G:$G,$B26,Parameters!AA:AA)</f>
        <v>0</v>
      </c>
      <c r="X26" s="29">
        <f>SUMIF(Parameters!$G:$G,$B26,Parameters!AB:AB)</f>
        <v>0</v>
      </c>
      <c r="Y26" s="29">
        <f>SUMIF(Parameters!$G:$G,$B26,Parameters!AC:AC)</f>
        <v>0</v>
      </c>
      <c r="Z26" s="29">
        <f>SUMIF(Parameters!$G:$G,$B26,Parameters!AD:AD)</f>
        <v>0</v>
      </c>
      <c r="AA26" s="29">
        <f>SUMIF(Parameters!$G:$G,$B26,Parameters!AE:AE)</f>
        <v>0</v>
      </c>
      <c r="AB26" s="29">
        <f>SUMIF(Parameters!$G:$G,$B26,Parameters!AF:AF)</f>
        <v>0</v>
      </c>
      <c r="AC26" s="29">
        <f>SUMIF(Parameters!$G:$G,$B26,Parameters!AG:AG)</f>
        <v>0</v>
      </c>
      <c r="AD26" s="29">
        <f>SUMIF(Parameters!$G:$G,$B26,Parameters!AH:AH)</f>
        <v>0</v>
      </c>
      <c r="AE26" s="29">
        <f>SUMIF(Parameters!$G:$G,$B26,Parameters!AI:AI)</f>
        <v>0</v>
      </c>
      <c r="AF26" s="29">
        <f>SUMIF(Parameters!$G:$G,$B26,Parameters!AJ:AJ)</f>
        <v>0</v>
      </c>
      <c r="AG26" s="29">
        <f>SUMIF(Parameters!$G:$G,$B26,Parameters!AK:AK)</f>
        <v>0</v>
      </c>
      <c r="AH26" s="29">
        <f>SUMIF(Parameters!$G:$G,$B26,Parameters!AL:AL)</f>
        <v>0</v>
      </c>
      <c r="AI26" s="29">
        <f>SUMIF(Parameters!$G:$G,$B26,Parameters!AM:AM)</f>
        <v>0</v>
      </c>
    </row>
    <row r="27" spans="2:35" x14ac:dyDescent="0.2">
      <c r="B27" s="30" t="str">
        <v>1.5.3</v>
      </c>
      <c r="C27" s="14" t="str">
        <f t="shared" si="2"/>
        <v>Proposed Street Crossing</v>
      </c>
      <c r="D27" s="31">
        <f t="shared" si="4"/>
        <v>500000</v>
      </c>
      <c r="E27" s="1"/>
      <c r="F27" s="29">
        <f>SUMIF(Parameters!$G:$G,$B27,Parameters!J:J)</f>
        <v>500000</v>
      </c>
      <c r="G27" s="29">
        <f>SUMIF(Parameters!$G:$G,$B27,Parameters!K:K)</f>
        <v>0</v>
      </c>
      <c r="H27" s="29">
        <f>SUMIF(Parameters!$G:$G,$B27,Parameters!L:L)</f>
        <v>0</v>
      </c>
      <c r="I27" s="29">
        <f>SUMIF(Parameters!$G:$G,$B27,Parameters!M:M)</f>
        <v>0</v>
      </c>
      <c r="J27" s="29">
        <f>SUMIF(Parameters!$G:$G,$B27,Parameters!N:N)</f>
        <v>0</v>
      </c>
      <c r="K27" s="29">
        <f>SUMIF(Parameters!$G:$G,$B27,Parameters!O:O)</f>
        <v>0</v>
      </c>
      <c r="L27" s="29">
        <f>SUMIF(Parameters!$G:$G,$B27,Parameters!P:P)</f>
        <v>0</v>
      </c>
      <c r="M27" s="29">
        <f>SUMIF(Parameters!$G:$G,$B27,Parameters!Q:Q)</f>
        <v>0</v>
      </c>
      <c r="N27" s="29">
        <f>SUMIF(Parameters!$G:$G,$B27,Parameters!R:R)</f>
        <v>0</v>
      </c>
      <c r="O27" s="29">
        <f>SUMIF(Parameters!$G:$G,$B27,Parameters!S:S)</f>
        <v>0</v>
      </c>
      <c r="P27" s="29">
        <f>SUMIF(Parameters!$G:$G,$B27,Parameters!T:T)</f>
        <v>0</v>
      </c>
      <c r="Q27" s="29">
        <f>SUMIF(Parameters!$G:$G,$B27,Parameters!U:U)</f>
        <v>0</v>
      </c>
      <c r="R27" s="29">
        <f>SUMIF(Parameters!$G:$G,$B27,Parameters!V:V)</f>
        <v>0</v>
      </c>
      <c r="S27" s="29">
        <f>SUMIF(Parameters!$G:$G,$B27,Parameters!W:W)</f>
        <v>0</v>
      </c>
      <c r="T27" s="29">
        <f>SUMIF(Parameters!$G:$G,$B27,Parameters!X:X)</f>
        <v>0</v>
      </c>
      <c r="U27" s="29">
        <f>SUMIF(Parameters!$G:$G,$B27,Parameters!Y:Y)</f>
        <v>0</v>
      </c>
      <c r="V27" s="29">
        <f>SUMIF(Parameters!$G:$G,$B27,Parameters!Z:Z)</f>
        <v>0</v>
      </c>
      <c r="W27" s="29">
        <f>SUMIF(Parameters!$G:$G,$B27,Parameters!AA:AA)</f>
        <v>0</v>
      </c>
      <c r="X27" s="29">
        <f>SUMIF(Parameters!$G:$G,$B27,Parameters!AB:AB)</f>
        <v>0</v>
      </c>
      <c r="Y27" s="29">
        <f>SUMIF(Parameters!$G:$G,$B27,Parameters!AC:AC)</f>
        <v>0</v>
      </c>
      <c r="Z27" s="29">
        <f>SUMIF(Parameters!$G:$G,$B27,Parameters!AD:AD)</f>
        <v>0</v>
      </c>
      <c r="AA27" s="29">
        <f>SUMIF(Parameters!$G:$G,$B27,Parameters!AE:AE)</f>
        <v>0</v>
      </c>
      <c r="AB27" s="29">
        <f>SUMIF(Parameters!$G:$G,$B27,Parameters!AF:AF)</f>
        <v>0</v>
      </c>
      <c r="AC27" s="29">
        <f>SUMIF(Parameters!$G:$G,$B27,Parameters!AG:AG)</f>
        <v>0</v>
      </c>
      <c r="AD27" s="29">
        <f>SUMIF(Parameters!$G:$G,$B27,Parameters!AH:AH)</f>
        <v>0</v>
      </c>
      <c r="AE27" s="29">
        <f>SUMIF(Parameters!$G:$G,$B27,Parameters!AI:AI)</f>
        <v>0</v>
      </c>
      <c r="AF27" s="29">
        <f>SUMIF(Parameters!$G:$G,$B27,Parameters!AJ:AJ)</f>
        <v>0</v>
      </c>
      <c r="AG27" s="29">
        <f>SUMIF(Parameters!$G:$G,$B27,Parameters!AK:AK)</f>
        <v>0</v>
      </c>
      <c r="AH27" s="29">
        <f>SUMIF(Parameters!$G:$G,$B27,Parameters!AL:AL)</f>
        <v>0</v>
      </c>
      <c r="AI27" s="29">
        <f>SUMIF(Parameters!$G:$G,$B27,Parameters!AM:AM)</f>
        <v>0</v>
      </c>
    </row>
    <row r="28" spans="2:35" x14ac:dyDescent="0.2">
      <c r="B28" s="30" t="str">
        <v>1.5.4</v>
      </c>
      <c r="C28" s="14" t="str">
        <f t="shared" si="2"/>
        <v>Demolish Existing Broadway Bridge</v>
      </c>
      <c r="D28" s="31">
        <f t="shared" si="4"/>
        <v>100000</v>
      </c>
      <c r="E28" s="1"/>
      <c r="F28" s="29">
        <f>SUMIF(Parameters!$G:$G,$B28,Parameters!J:J)</f>
        <v>100000</v>
      </c>
      <c r="G28" s="29">
        <f>SUMIF(Parameters!$G:$G,$B28,Parameters!K:K)</f>
        <v>0</v>
      </c>
      <c r="H28" s="29">
        <f>SUMIF(Parameters!$G:$G,$B28,Parameters!L:L)</f>
        <v>0</v>
      </c>
      <c r="I28" s="29">
        <f>SUMIF(Parameters!$G:$G,$B28,Parameters!M:M)</f>
        <v>0</v>
      </c>
      <c r="J28" s="29">
        <f>SUMIF(Parameters!$G:$G,$B28,Parameters!N:N)</f>
        <v>0</v>
      </c>
      <c r="K28" s="29">
        <f>SUMIF(Parameters!$G:$G,$B28,Parameters!O:O)</f>
        <v>0</v>
      </c>
      <c r="L28" s="29">
        <f>SUMIF(Parameters!$G:$G,$B28,Parameters!P:P)</f>
        <v>0</v>
      </c>
      <c r="M28" s="29">
        <f>SUMIF(Parameters!$G:$G,$B28,Parameters!Q:Q)</f>
        <v>0</v>
      </c>
      <c r="N28" s="29">
        <f>SUMIF(Parameters!$G:$G,$B28,Parameters!R:R)</f>
        <v>0</v>
      </c>
      <c r="O28" s="29">
        <f>SUMIF(Parameters!$G:$G,$B28,Parameters!S:S)</f>
        <v>0</v>
      </c>
      <c r="P28" s="29">
        <f>SUMIF(Parameters!$G:$G,$B28,Parameters!T:T)</f>
        <v>0</v>
      </c>
      <c r="Q28" s="29">
        <f>SUMIF(Parameters!$G:$G,$B28,Parameters!U:U)</f>
        <v>0</v>
      </c>
      <c r="R28" s="29">
        <f>SUMIF(Parameters!$G:$G,$B28,Parameters!V:V)</f>
        <v>0</v>
      </c>
      <c r="S28" s="29">
        <f>SUMIF(Parameters!$G:$G,$B28,Parameters!W:W)</f>
        <v>0</v>
      </c>
      <c r="T28" s="29">
        <f>SUMIF(Parameters!$G:$G,$B28,Parameters!X:X)</f>
        <v>0</v>
      </c>
      <c r="U28" s="29">
        <f>SUMIF(Parameters!$G:$G,$B28,Parameters!Y:Y)</f>
        <v>0</v>
      </c>
      <c r="V28" s="29">
        <f>SUMIF(Parameters!$G:$G,$B28,Parameters!Z:Z)</f>
        <v>0</v>
      </c>
      <c r="W28" s="29">
        <f>SUMIF(Parameters!$G:$G,$B28,Parameters!AA:AA)</f>
        <v>0</v>
      </c>
      <c r="X28" s="29">
        <f>SUMIF(Parameters!$G:$G,$B28,Parameters!AB:AB)</f>
        <v>0</v>
      </c>
      <c r="Y28" s="29">
        <f>SUMIF(Parameters!$G:$G,$B28,Parameters!AC:AC)</f>
        <v>0</v>
      </c>
      <c r="Z28" s="29">
        <f>SUMIF(Parameters!$G:$G,$B28,Parameters!AD:AD)</f>
        <v>0</v>
      </c>
      <c r="AA28" s="29">
        <f>SUMIF(Parameters!$G:$G,$B28,Parameters!AE:AE)</f>
        <v>0</v>
      </c>
      <c r="AB28" s="29">
        <f>SUMIF(Parameters!$G:$G,$B28,Parameters!AF:AF)</f>
        <v>0</v>
      </c>
      <c r="AC28" s="29">
        <f>SUMIF(Parameters!$G:$G,$B28,Parameters!AG:AG)</f>
        <v>0</v>
      </c>
      <c r="AD28" s="29">
        <f>SUMIF(Parameters!$G:$G,$B28,Parameters!AH:AH)</f>
        <v>0</v>
      </c>
      <c r="AE28" s="29">
        <f>SUMIF(Parameters!$G:$G,$B28,Parameters!AI:AI)</f>
        <v>0</v>
      </c>
      <c r="AF28" s="29">
        <f>SUMIF(Parameters!$G:$G,$B28,Parameters!AJ:AJ)</f>
        <v>0</v>
      </c>
      <c r="AG28" s="29">
        <f>SUMIF(Parameters!$G:$G,$B28,Parameters!AK:AK)</f>
        <v>0</v>
      </c>
      <c r="AH28" s="29">
        <f>SUMIF(Parameters!$G:$G,$B28,Parameters!AL:AL)</f>
        <v>0</v>
      </c>
      <c r="AI28" s="29">
        <f>SUMIF(Parameters!$G:$G,$B28,Parameters!AM:AM)</f>
        <v>0</v>
      </c>
    </row>
    <row r="29" spans="2:35" x14ac:dyDescent="0.2">
      <c r="B29" s="30" t="str">
        <v>1.5.5</v>
      </c>
      <c r="C29" s="14" t="str">
        <f t="shared" si="2"/>
        <v>Proposed Broadway Bridge</v>
      </c>
      <c r="D29" s="31">
        <f t="shared" si="4"/>
        <v>4400000</v>
      </c>
      <c r="E29" s="1"/>
      <c r="F29" s="29">
        <f>SUMIF(Parameters!$G:$G,$B29,Parameters!J:J)</f>
        <v>4400000</v>
      </c>
      <c r="G29" s="29">
        <f>SUMIF(Parameters!$G:$G,$B29,Parameters!K:K)</f>
        <v>0</v>
      </c>
      <c r="H29" s="29">
        <f>SUMIF(Parameters!$G:$G,$B29,Parameters!L:L)</f>
        <v>0</v>
      </c>
      <c r="I29" s="29">
        <f>SUMIF(Parameters!$G:$G,$B29,Parameters!M:M)</f>
        <v>0</v>
      </c>
      <c r="J29" s="29">
        <f>SUMIF(Parameters!$G:$G,$B29,Parameters!N:N)</f>
        <v>0</v>
      </c>
      <c r="K29" s="29">
        <f>SUMIF(Parameters!$G:$G,$B29,Parameters!O:O)</f>
        <v>0</v>
      </c>
      <c r="L29" s="29">
        <f>SUMIF(Parameters!$G:$G,$B29,Parameters!P:P)</f>
        <v>0</v>
      </c>
      <c r="M29" s="29">
        <f>SUMIF(Parameters!$G:$G,$B29,Parameters!Q:Q)</f>
        <v>0</v>
      </c>
      <c r="N29" s="29">
        <f>SUMIF(Parameters!$G:$G,$B29,Parameters!R:R)</f>
        <v>0</v>
      </c>
      <c r="O29" s="29">
        <f>SUMIF(Parameters!$G:$G,$B29,Parameters!S:S)</f>
        <v>0</v>
      </c>
      <c r="P29" s="29">
        <f>SUMIF(Parameters!$G:$G,$B29,Parameters!T:T)</f>
        <v>0</v>
      </c>
      <c r="Q29" s="29">
        <f>SUMIF(Parameters!$G:$G,$B29,Parameters!U:U)</f>
        <v>0</v>
      </c>
      <c r="R29" s="29">
        <f>SUMIF(Parameters!$G:$G,$B29,Parameters!V:V)</f>
        <v>0</v>
      </c>
      <c r="S29" s="29">
        <f>SUMIF(Parameters!$G:$G,$B29,Parameters!W:W)</f>
        <v>0</v>
      </c>
      <c r="T29" s="29">
        <f>SUMIF(Parameters!$G:$G,$B29,Parameters!X:X)</f>
        <v>0</v>
      </c>
      <c r="U29" s="29">
        <f>SUMIF(Parameters!$G:$G,$B29,Parameters!Y:Y)</f>
        <v>0</v>
      </c>
      <c r="V29" s="29">
        <f>SUMIF(Parameters!$G:$G,$B29,Parameters!Z:Z)</f>
        <v>0</v>
      </c>
      <c r="W29" s="29">
        <f>SUMIF(Parameters!$G:$G,$B29,Parameters!AA:AA)</f>
        <v>0</v>
      </c>
      <c r="X29" s="29">
        <f>SUMIF(Parameters!$G:$G,$B29,Parameters!AB:AB)</f>
        <v>0</v>
      </c>
      <c r="Y29" s="29">
        <f>SUMIF(Parameters!$G:$G,$B29,Parameters!AC:AC)</f>
        <v>0</v>
      </c>
      <c r="Z29" s="29">
        <f>SUMIF(Parameters!$G:$G,$B29,Parameters!AD:AD)</f>
        <v>0</v>
      </c>
      <c r="AA29" s="29">
        <f>SUMIF(Parameters!$G:$G,$B29,Parameters!AE:AE)</f>
        <v>0</v>
      </c>
      <c r="AB29" s="29">
        <f>SUMIF(Parameters!$G:$G,$B29,Parameters!AF:AF)</f>
        <v>0</v>
      </c>
      <c r="AC29" s="29">
        <f>SUMIF(Parameters!$G:$G,$B29,Parameters!AG:AG)</f>
        <v>0</v>
      </c>
      <c r="AD29" s="29">
        <f>SUMIF(Parameters!$G:$G,$B29,Parameters!AH:AH)</f>
        <v>0</v>
      </c>
      <c r="AE29" s="29">
        <f>SUMIF(Parameters!$G:$G,$B29,Parameters!AI:AI)</f>
        <v>0</v>
      </c>
      <c r="AF29" s="29">
        <f>SUMIF(Parameters!$G:$G,$B29,Parameters!AJ:AJ)</f>
        <v>0</v>
      </c>
      <c r="AG29" s="29">
        <f>SUMIF(Parameters!$G:$G,$B29,Parameters!AK:AK)</f>
        <v>0</v>
      </c>
      <c r="AH29" s="29">
        <f>SUMIF(Parameters!$G:$G,$B29,Parameters!AL:AL)</f>
        <v>0</v>
      </c>
      <c r="AI29" s="29">
        <f>SUMIF(Parameters!$G:$G,$B29,Parameters!AM:AM)</f>
        <v>0</v>
      </c>
    </row>
    <row r="30" spans="2:35" x14ac:dyDescent="0.2">
      <c r="B30" s="30" t="str">
        <v>1.5.6</v>
      </c>
      <c r="C30" s="14" t="str">
        <f t="shared" si="2"/>
        <v>Traffic Control Broadway Street</v>
      </c>
      <c r="D30" s="31">
        <f t="shared" si="4"/>
        <v>100000</v>
      </c>
      <c r="E30" s="1"/>
      <c r="F30" s="29">
        <f>SUMIF(Parameters!$G:$G,$B30,Parameters!J:J)</f>
        <v>100000</v>
      </c>
      <c r="G30" s="29">
        <f>SUMIF(Parameters!$G:$G,$B30,Parameters!K:K)</f>
        <v>0</v>
      </c>
      <c r="H30" s="29">
        <f>SUMIF(Parameters!$G:$G,$B30,Parameters!L:L)</f>
        <v>0</v>
      </c>
      <c r="I30" s="29">
        <f>SUMIF(Parameters!$G:$G,$B30,Parameters!M:M)</f>
        <v>0</v>
      </c>
      <c r="J30" s="29">
        <f>SUMIF(Parameters!$G:$G,$B30,Parameters!N:N)</f>
        <v>0</v>
      </c>
      <c r="K30" s="29">
        <f>SUMIF(Parameters!$G:$G,$B30,Parameters!O:O)</f>
        <v>0</v>
      </c>
      <c r="L30" s="29">
        <f>SUMIF(Parameters!$G:$G,$B30,Parameters!P:P)</f>
        <v>0</v>
      </c>
      <c r="M30" s="29">
        <f>SUMIF(Parameters!$G:$G,$B30,Parameters!Q:Q)</f>
        <v>0</v>
      </c>
      <c r="N30" s="29">
        <f>SUMIF(Parameters!$G:$G,$B30,Parameters!R:R)</f>
        <v>0</v>
      </c>
      <c r="O30" s="29">
        <f>SUMIF(Parameters!$G:$G,$B30,Parameters!S:S)</f>
        <v>0</v>
      </c>
      <c r="P30" s="29">
        <f>SUMIF(Parameters!$G:$G,$B30,Parameters!T:T)</f>
        <v>0</v>
      </c>
      <c r="Q30" s="29">
        <f>SUMIF(Parameters!$G:$G,$B30,Parameters!U:U)</f>
        <v>0</v>
      </c>
      <c r="R30" s="29">
        <f>SUMIF(Parameters!$G:$G,$B30,Parameters!V:V)</f>
        <v>0</v>
      </c>
      <c r="S30" s="29">
        <f>SUMIF(Parameters!$G:$G,$B30,Parameters!W:W)</f>
        <v>0</v>
      </c>
      <c r="T30" s="29">
        <f>SUMIF(Parameters!$G:$G,$B30,Parameters!X:X)</f>
        <v>0</v>
      </c>
      <c r="U30" s="29">
        <f>SUMIF(Parameters!$G:$G,$B30,Parameters!Y:Y)</f>
        <v>0</v>
      </c>
      <c r="V30" s="29">
        <f>SUMIF(Parameters!$G:$G,$B30,Parameters!Z:Z)</f>
        <v>0</v>
      </c>
      <c r="W30" s="29">
        <f>SUMIF(Parameters!$G:$G,$B30,Parameters!AA:AA)</f>
        <v>0</v>
      </c>
      <c r="X30" s="29">
        <f>SUMIF(Parameters!$G:$G,$B30,Parameters!AB:AB)</f>
        <v>0</v>
      </c>
      <c r="Y30" s="29">
        <f>SUMIF(Parameters!$G:$G,$B30,Parameters!AC:AC)</f>
        <v>0</v>
      </c>
      <c r="Z30" s="29">
        <f>SUMIF(Parameters!$G:$G,$B30,Parameters!AD:AD)</f>
        <v>0</v>
      </c>
      <c r="AA30" s="29">
        <f>SUMIF(Parameters!$G:$G,$B30,Parameters!AE:AE)</f>
        <v>0</v>
      </c>
      <c r="AB30" s="29">
        <f>SUMIF(Parameters!$G:$G,$B30,Parameters!AF:AF)</f>
        <v>0</v>
      </c>
      <c r="AC30" s="29">
        <f>SUMIF(Parameters!$G:$G,$B30,Parameters!AG:AG)</f>
        <v>0</v>
      </c>
      <c r="AD30" s="29">
        <f>SUMIF(Parameters!$G:$G,$B30,Parameters!AH:AH)</f>
        <v>0</v>
      </c>
      <c r="AE30" s="29">
        <f>SUMIF(Parameters!$G:$G,$B30,Parameters!AI:AI)</f>
        <v>0</v>
      </c>
      <c r="AF30" s="29">
        <f>SUMIF(Parameters!$G:$G,$B30,Parameters!AJ:AJ)</f>
        <v>0</v>
      </c>
      <c r="AG30" s="29">
        <f>SUMIF(Parameters!$G:$G,$B30,Parameters!AK:AK)</f>
        <v>0</v>
      </c>
      <c r="AH30" s="29">
        <f>SUMIF(Parameters!$G:$G,$B30,Parameters!AL:AL)</f>
        <v>0</v>
      </c>
      <c r="AI30" s="29">
        <f>SUMIF(Parameters!$G:$G,$B30,Parameters!AM:AM)</f>
        <v>0</v>
      </c>
    </row>
    <row r="31" spans="2:35" x14ac:dyDescent="0.2">
      <c r="B31" s="30" t="str">
        <v>1.5.7</v>
      </c>
      <c r="C31" s="14" t="str">
        <f t="shared" si="2"/>
        <v>City of Houston Roadway and Bridge Improvements</v>
      </c>
      <c r="D31" s="31">
        <f t="shared" si="4"/>
        <v>250000</v>
      </c>
      <c r="E31" s="1"/>
      <c r="F31" s="29">
        <f>SUMIF(Parameters!$G:$G,$B31,Parameters!J:J)</f>
        <v>250000</v>
      </c>
      <c r="G31" s="29">
        <f>SUMIF(Parameters!$G:$G,$B31,Parameters!K:K)</f>
        <v>0</v>
      </c>
      <c r="H31" s="29">
        <f>SUMIF(Parameters!$G:$G,$B31,Parameters!L:L)</f>
        <v>0</v>
      </c>
      <c r="I31" s="29">
        <f>SUMIF(Parameters!$G:$G,$B31,Parameters!M:M)</f>
        <v>0</v>
      </c>
      <c r="J31" s="29">
        <f>SUMIF(Parameters!$G:$G,$B31,Parameters!N:N)</f>
        <v>0</v>
      </c>
      <c r="K31" s="29">
        <f>SUMIF(Parameters!$G:$G,$B31,Parameters!O:O)</f>
        <v>0</v>
      </c>
      <c r="L31" s="29">
        <f>SUMIF(Parameters!$G:$G,$B31,Parameters!P:P)</f>
        <v>0</v>
      </c>
      <c r="M31" s="29">
        <f>SUMIF(Parameters!$G:$G,$B31,Parameters!Q:Q)</f>
        <v>0</v>
      </c>
      <c r="N31" s="29">
        <f>SUMIF(Parameters!$G:$G,$B31,Parameters!R:R)</f>
        <v>0</v>
      </c>
      <c r="O31" s="29">
        <f>SUMIF(Parameters!$G:$G,$B31,Parameters!S:S)</f>
        <v>0</v>
      </c>
      <c r="P31" s="29">
        <f>SUMIF(Parameters!$G:$G,$B31,Parameters!T:T)</f>
        <v>0</v>
      </c>
      <c r="Q31" s="29">
        <f>SUMIF(Parameters!$G:$G,$B31,Parameters!U:U)</f>
        <v>0</v>
      </c>
      <c r="R31" s="29">
        <f>SUMIF(Parameters!$G:$G,$B31,Parameters!V:V)</f>
        <v>0</v>
      </c>
      <c r="S31" s="29">
        <f>SUMIF(Parameters!$G:$G,$B31,Parameters!W:W)</f>
        <v>0</v>
      </c>
      <c r="T31" s="29">
        <f>SUMIF(Parameters!$G:$G,$B31,Parameters!X:X)</f>
        <v>0</v>
      </c>
      <c r="U31" s="29">
        <f>SUMIF(Parameters!$G:$G,$B31,Parameters!Y:Y)</f>
        <v>0</v>
      </c>
      <c r="V31" s="29">
        <f>SUMIF(Parameters!$G:$G,$B31,Parameters!Z:Z)</f>
        <v>0</v>
      </c>
      <c r="W31" s="29">
        <f>SUMIF(Parameters!$G:$G,$B31,Parameters!AA:AA)</f>
        <v>0</v>
      </c>
      <c r="X31" s="29">
        <f>SUMIF(Parameters!$G:$G,$B31,Parameters!AB:AB)</f>
        <v>0</v>
      </c>
      <c r="Y31" s="29">
        <f>SUMIF(Parameters!$G:$G,$B31,Parameters!AC:AC)</f>
        <v>0</v>
      </c>
      <c r="Z31" s="29">
        <f>SUMIF(Parameters!$G:$G,$B31,Parameters!AD:AD)</f>
        <v>0</v>
      </c>
      <c r="AA31" s="29">
        <f>SUMIF(Parameters!$G:$G,$B31,Parameters!AE:AE)</f>
        <v>0</v>
      </c>
      <c r="AB31" s="29">
        <f>SUMIF(Parameters!$G:$G,$B31,Parameters!AF:AF)</f>
        <v>0</v>
      </c>
      <c r="AC31" s="29">
        <f>SUMIF(Parameters!$G:$G,$B31,Parameters!AG:AG)</f>
        <v>0</v>
      </c>
      <c r="AD31" s="29">
        <f>SUMIF(Parameters!$G:$G,$B31,Parameters!AH:AH)</f>
        <v>0</v>
      </c>
      <c r="AE31" s="29">
        <f>SUMIF(Parameters!$G:$G,$B31,Parameters!AI:AI)</f>
        <v>0</v>
      </c>
      <c r="AF31" s="29">
        <f>SUMIF(Parameters!$G:$G,$B31,Parameters!AJ:AJ)</f>
        <v>0</v>
      </c>
      <c r="AG31" s="29">
        <f>SUMIF(Parameters!$G:$G,$B31,Parameters!AK:AK)</f>
        <v>0</v>
      </c>
      <c r="AH31" s="29">
        <f>SUMIF(Parameters!$G:$G,$B31,Parameters!AL:AL)</f>
        <v>0</v>
      </c>
      <c r="AI31" s="29">
        <f>SUMIF(Parameters!$G:$G,$B31,Parameters!AM:AM)</f>
        <v>0</v>
      </c>
    </row>
    <row r="32" spans="2:35" x14ac:dyDescent="0.2">
      <c r="B32" s="27" t="str">
        <v>1.6</v>
      </c>
      <c r="C32" s="28" t="str">
        <f t="shared" si="2"/>
        <v>Engineering Services</v>
      </c>
      <c r="D32" s="29">
        <f t="shared" si="4"/>
        <v>6406566.522253124</v>
      </c>
      <c r="E32" s="24"/>
      <c r="F32" s="29">
        <f>SUBTOTAL(9,F33:F35)</f>
        <v>6406566.522253124</v>
      </c>
      <c r="G32" s="29">
        <f t="shared" ref="G32:AI32" si="9">SUBTOTAL(9,G33:G35)</f>
        <v>0</v>
      </c>
      <c r="H32" s="29">
        <f t="shared" si="9"/>
        <v>0</v>
      </c>
      <c r="I32" s="29">
        <f t="shared" si="9"/>
        <v>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9"/>
        <v>0</v>
      </c>
      <c r="O32" s="29">
        <f t="shared" si="9"/>
        <v>0</v>
      </c>
      <c r="P32" s="29">
        <f t="shared" si="9"/>
        <v>0</v>
      </c>
      <c r="Q32" s="29">
        <f t="shared" si="9"/>
        <v>0</v>
      </c>
      <c r="R32" s="29">
        <f t="shared" si="9"/>
        <v>0</v>
      </c>
      <c r="S32" s="29">
        <f t="shared" si="9"/>
        <v>0</v>
      </c>
      <c r="T32" s="29">
        <f t="shared" si="9"/>
        <v>0</v>
      </c>
      <c r="U32" s="29">
        <f t="shared" si="9"/>
        <v>0</v>
      </c>
      <c r="V32" s="29">
        <f t="shared" si="9"/>
        <v>0</v>
      </c>
      <c r="W32" s="29">
        <f t="shared" si="9"/>
        <v>0</v>
      </c>
      <c r="X32" s="29">
        <f t="shared" si="9"/>
        <v>0</v>
      </c>
      <c r="Y32" s="29">
        <f t="shared" si="9"/>
        <v>0</v>
      </c>
      <c r="Z32" s="29">
        <f t="shared" si="9"/>
        <v>0</v>
      </c>
      <c r="AA32" s="29">
        <f t="shared" si="9"/>
        <v>0</v>
      </c>
      <c r="AB32" s="29">
        <f t="shared" si="9"/>
        <v>0</v>
      </c>
      <c r="AC32" s="29">
        <f t="shared" si="9"/>
        <v>0</v>
      </c>
      <c r="AD32" s="29">
        <f t="shared" si="9"/>
        <v>0</v>
      </c>
      <c r="AE32" s="29">
        <f t="shared" si="9"/>
        <v>0</v>
      </c>
      <c r="AF32" s="29">
        <f t="shared" si="9"/>
        <v>0</v>
      </c>
      <c r="AG32" s="29">
        <f t="shared" si="9"/>
        <v>0</v>
      </c>
      <c r="AH32" s="29">
        <f t="shared" si="9"/>
        <v>0</v>
      </c>
      <c r="AI32" s="29">
        <f t="shared" si="9"/>
        <v>0</v>
      </c>
    </row>
    <row r="33" spans="2:35" x14ac:dyDescent="0.2">
      <c r="B33" s="30" t="str">
        <v>1.6.1</v>
      </c>
      <c r="C33" s="14" t="str">
        <f t="shared" si="2"/>
        <v>Engineering Design</v>
      </c>
      <c r="D33" s="31">
        <f t="shared" si="4"/>
        <v>310000</v>
      </c>
      <c r="E33" s="1"/>
      <c r="F33" s="29">
        <f>SUMIF(Parameters!$G:$G,$B33,Parameters!J:J)</f>
        <v>310000</v>
      </c>
      <c r="G33" s="29">
        <f>SUMIF(Parameters!$G:$G,$B33,Parameters!K:K)</f>
        <v>0</v>
      </c>
      <c r="H33" s="29">
        <f>SUMIF(Parameters!$G:$G,$B33,Parameters!L:L)</f>
        <v>0</v>
      </c>
      <c r="I33" s="29">
        <f>SUMIF(Parameters!$G:$G,$B33,Parameters!M:M)</f>
        <v>0</v>
      </c>
      <c r="J33" s="29">
        <f>SUMIF(Parameters!$G:$G,$B33,Parameters!N:N)</f>
        <v>0</v>
      </c>
      <c r="K33" s="29">
        <f>SUMIF(Parameters!$G:$G,$B33,Parameters!O:O)</f>
        <v>0</v>
      </c>
      <c r="L33" s="29">
        <f>SUMIF(Parameters!$G:$G,$B33,Parameters!P:P)</f>
        <v>0</v>
      </c>
      <c r="M33" s="29">
        <f>SUMIF(Parameters!$G:$G,$B33,Parameters!Q:Q)</f>
        <v>0</v>
      </c>
      <c r="N33" s="29">
        <f>SUMIF(Parameters!$G:$G,$B33,Parameters!R:R)</f>
        <v>0</v>
      </c>
      <c r="O33" s="29">
        <f>SUMIF(Parameters!$G:$G,$B33,Parameters!S:S)</f>
        <v>0</v>
      </c>
      <c r="P33" s="29">
        <f>SUMIF(Parameters!$G:$G,$B33,Parameters!T:T)</f>
        <v>0</v>
      </c>
      <c r="Q33" s="29">
        <f>SUMIF(Parameters!$G:$G,$B33,Parameters!U:U)</f>
        <v>0</v>
      </c>
      <c r="R33" s="29">
        <f>SUMIF(Parameters!$G:$G,$B33,Parameters!V:V)</f>
        <v>0</v>
      </c>
      <c r="S33" s="29">
        <f>SUMIF(Parameters!$G:$G,$B33,Parameters!W:W)</f>
        <v>0</v>
      </c>
      <c r="T33" s="29">
        <f>SUMIF(Parameters!$G:$G,$B33,Parameters!X:X)</f>
        <v>0</v>
      </c>
      <c r="U33" s="29">
        <f>SUMIF(Parameters!$G:$G,$B33,Parameters!Y:Y)</f>
        <v>0</v>
      </c>
      <c r="V33" s="29">
        <f>SUMIF(Parameters!$G:$G,$B33,Parameters!Z:Z)</f>
        <v>0</v>
      </c>
      <c r="W33" s="29">
        <f>SUMIF(Parameters!$G:$G,$B33,Parameters!AA:AA)</f>
        <v>0</v>
      </c>
      <c r="X33" s="29">
        <f>SUMIF(Parameters!$G:$G,$B33,Parameters!AB:AB)</f>
        <v>0</v>
      </c>
      <c r="Y33" s="29">
        <f>SUMIF(Parameters!$G:$G,$B33,Parameters!AC:AC)</f>
        <v>0</v>
      </c>
      <c r="Z33" s="29">
        <f>SUMIF(Parameters!$G:$G,$B33,Parameters!AD:AD)</f>
        <v>0</v>
      </c>
      <c r="AA33" s="29">
        <f>SUMIF(Parameters!$G:$G,$B33,Parameters!AE:AE)</f>
        <v>0</v>
      </c>
      <c r="AB33" s="29">
        <f>SUMIF(Parameters!$G:$G,$B33,Parameters!AF:AF)</f>
        <v>0</v>
      </c>
      <c r="AC33" s="29">
        <f>SUMIF(Parameters!$G:$G,$B33,Parameters!AG:AG)</f>
        <v>0</v>
      </c>
      <c r="AD33" s="29">
        <f>SUMIF(Parameters!$G:$G,$B33,Parameters!AH:AH)</f>
        <v>0</v>
      </c>
      <c r="AE33" s="29">
        <f>SUMIF(Parameters!$G:$G,$B33,Parameters!AI:AI)</f>
        <v>0</v>
      </c>
      <c r="AF33" s="29">
        <f>SUMIF(Parameters!$G:$G,$B33,Parameters!AJ:AJ)</f>
        <v>0</v>
      </c>
      <c r="AG33" s="29">
        <f>SUMIF(Parameters!$G:$G,$B33,Parameters!AK:AK)</f>
        <v>0</v>
      </c>
      <c r="AH33" s="29">
        <f>SUMIF(Parameters!$G:$G,$B33,Parameters!AL:AL)</f>
        <v>0</v>
      </c>
      <c r="AI33" s="29">
        <f>SUMIF(Parameters!$G:$G,$B33,Parameters!AM:AM)</f>
        <v>0</v>
      </c>
    </row>
    <row r="34" spans="2:35" x14ac:dyDescent="0.2">
      <c r="B34" s="30" t="str">
        <v>1.6.2</v>
      </c>
      <c r="C34" s="14" t="str">
        <f t="shared" si="2"/>
        <v>Engineering CM</v>
      </c>
      <c r="D34" s="31">
        <f t="shared" si="4"/>
        <v>600000</v>
      </c>
      <c r="E34" s="1"/>
      <c r="F34" s="29">
        <f>SUMIF(Parameters!$G:$G,$B34,Parameters!J:J)</f>
        <v>600000</v>
      </c>
      <c r="G34" s="29">
        <f>SUMIF(Parameters!$G:$G,$B34,Parameters!K:K)</f>
        <v>0</v>
      </c>
      <c r="H34" s="29">
        <f>SUMIF(Parameters!$G:$G,$B34,Parameters!L:L)</f>
        <v>0</v>
      </c>
      <c r="I34" s="29">
        <f>SUMIF(Parameters!$G:$G,$B34,Parameters!M:M)</f>
        <v>0</v>
      </c>
      <c r="J34" s="29">
        <f>SUMIF(Parameters!$G:$G,$B34,Parameters!N:N)</f>
        <v>0</v>
      </c>
      <c r="K34" s="29">
        <f>SUMIF(Parameters!$G:$G,$B34,Parameters!O:O)</f>
        <v>0</v>
      </c>
      <c r="L34" s="29">
        <f>SUMIF(Parameters!$G:$G,$B34,Parameters!P:P)</f>
        <v>0</v>
      </c>
      <c r="M34" s="29">
        <f>SUMIF(Parameters!$G:$G,$B34,Parameters!Q:Q)</f>
        <v>0</v>
      </c>
      <c r="N34" s="29">
        <f>SUMIF(Parameters!$G:$G,$B34,Parameters!R:R)</f>
        <v>0</v>
      </c>
      <c r="O34" s="29">
        <f>SUMIF(Parameters!$G:$G,$B34,Parameters!S:S)</f>
        <v>0</v>
      </c>
      <c r="P34" s="29">
        <f>SUMIF(Parameters!$G:$G,$B34,Parameters!T:T)</f>
        <v>0</v>
      </c>
      <c r="Q34" s="29">
        <f>SUMIF(Parameters!$G:$G,$B34,Parameters!U:U)</f>
        <v>0</v>
      </c>
      <c r="R34" s="29">
        <f>SUMIF(Parameters!$G:$G,$B34,Parameters!V:V)</f>
        <v>0</v>
      </c>
      <c r="S34" s="29">
        <f>SUMIF(Parameters!$G:$G,$B34,Parameters!W:W)</f>
        <v>0</v>
      </c>
      <c r="T34" s="29">
        <f>SUMIF(Parameters!$G:$G,$B34,Parameters!X:X)</f>
        <v>0</v>
      </c>
      <c r="U34" s="29">
        <f>SUMIF(Parameters!$G:$G,$B34,Parameters!Y:Y)</f>
        <v>0</v>
      </c>
      <c r="V34" s="29">
        <f>SUMIF(Parameters!$G:$G,$B34,Parameters!Z:Z)</f>
        <v>0</v>
      </c>
      <c r="W34" s="29">
        <f>SUMIF(Parameters!$G:$G,$B34,Parameters!AA:AA)</f>
        <v>0</v>
      </c>
      <c r="X34" s="29">
        <f>SUMIF(Parameters!$G:$G,$B34,Parameters!AB:AB)</f>
        <v>0</v>
      </c>
      <c r="Y34" s="29">
        <f>SUMIF(Parameters!$G:$G,$B34,Parameters!AC:AC)</f>
        <v>0</v>
      </c>
      <c r="Z34" s="29">
        <f>SUMIF(Parameters!$G:$G,$B34,Parameters!AD:AD)</f>
        <v>0</v>
      </c>
      <c r="AA34" s="29">
        <f>SUMIF(Parameters!$G:$G,$B34,Parameters!AE:AE)</f>
        <v>0</v>
      </c>
      <c r="AB34" s="29">
        <f>SUMIF(Parameters!$G:$G,$B34,Parameters!AF:AF)</f>
        <v>0</v>
      </c>
      <c r="AC34" s="29">
        <f>SUMIF(Parameters!$G:$G,$B34,Parameters!AG:AG)</f>
        <v>0</v>
      </c>
      <c r="AD34" s="29">
        <f>SUMIF(Parameters!$G:$G,$B34,Parameters!AH:AH)</f>
        <v>0</v>
      </c>
      <c r="AE34" s="29">
        <f>SUMIF(Parameters!$G:$G,$B34,Parameters!AI:AI)</f>
        <v>0</v>
      </c>
      <c r="AF34" s="29">
        <f>SUMIF(Parameters!$G:$G,$B34,Parameters!AJ:AJ)</f>
        <v>0</v>
      </c>
      <c r="AG34" s="29">
        <f>SUMIF(Parameters!$G:$G,$B34,Parameters!AK:AK)</f>
        <v>0</v>
      </c>
      <c r="AH34" s="29">
        <f>SUMIF(Parameters!$G:$G,$B34,Parameters!AL:AL)</f>
        <v>0</v>
      </c>
      <c r="AI34" s="29">
        <f>SUMIF(Parameters!$G:$G,$B34,Parameters!AM:AM)</f>
        <v>0</v>
      </c>
    </row>
    <row r="35" spans="2:35" x14ac:dyDescent="0.2">
      <c r="B35" s="27" t="str">
        <v>1.7</v>
      </c>
      <c r="C35" s="28" t="str">
        <f t="shared" si="2"/>
        <v>Contingency</v>
      </c>
      <c r="D35" s="29">
        <f t="shared" si="4"/>
        <v>5496566.522253124</v>
      </c>
      <c r="E35" s="24"/>
      <c r="F35" s="29">
        <f>SUMIF(Parameters!$G:$G,$B35,Parameters!J:J)</f>
        <v>5496566.522253124</v>
      </c>
      <c r="G35" s="29">
        <f>SUMIF(Parameters!$G:$G,$B35,Parameters!K:K)</f>
        <v>0</v>
      </c>
      <c r="H35" s="29">
        <f>SUMIF(Parameters!$G:$G,$B35,Parameters!L:L)</f>
        <v>0</v>
      </c>
      <c r="I35" s="29">
        <f>SUMIF(Parameters!$G:$G,$B35,Parameters!M:M)</f>
        <v>0</v>
      </c>
      <c r="J35" s="29">
        <f>SUMIF(Parameters!$G:$G,$B35,Parameters!N:N)</f>
        <v>0</v>
      </c>
      <c r="K35" s="29">
        <f>SUMIF(Parameters!$G:$G,$B35,Parameters!O:O)</f>
        <v>0</v>
      </c>
      <c r="L35" s="29">
        <f>SUMIF(Parameters!$G:$G,$B35,Parameters!P:P)</f>
        <v>0</v>
      </c>
      <c r="M35" s="29">
        <f>SUMIF(Parameters!$G:$G,$B35,Parameters!Q:Q)</f>
        <v>0</v>
      </c>
      <c r="N35" s="29">
        <f>SUMIF(Parameters!$G:$G,$B35,Parameters!R:R)</f>
        <v>0</v>
      </c>
      <c r="O35" s="29">
        <f>SUMIF(Parameters!$G:$G,$B35,Parameters!S:S)</f>
        <v>0</v>
      </c>
      <c r="P35" s="29">
        <f>SUMIF(Parameters!$G:$G,$B35,Parameters!T:T)</f>
        <v>0</v>
      </c>
      <c r="Q35" s="29">
        <f>SUMIF(Parameters!$G:$G,$B35,Parameters!U:U)</f>
        <v>0</v>
      </c>
      <c r="R35" s="29">
        <f>SUMIF(Parameters!$G:$G,$B35,Parameters!V:V)</f>
        <v>0</v>
      </c>
      <c r="S35" s="29">
        <f>SUMIF(Parameters!$G:$G,$B35,Parameters!W:W)</f>
        <v>0</v>
      </c>
      <c r="T35" s="29">
        <f>SUMIF(Parameters!$G:$G,$B35,Parameters!X:X)</f>
        <v>0</v>
      </c>
      <c r="U35" s="29">
        <f>SUMIF(Parameters!$G:$G,$B35,Parameters!Y:Y)</f>
        <v>0</v>
      </c>
      <c r="V35" s="29">
        <f>SUMIF(Parameters!$G:$G,$B35,Parameters!Z:Z)</f>
        <v>0</v>
      </c>
      <c r="W35" s="29">
        <f>SUMIF(Parameters!$G:$G,$B35,Parameters!AA:AA)</f>
        <v>0</v>
      </c>
      <c r="X35" s="29">
        <f>SUMIF(Parameters!$G:$G,$B35,Parameters!AB:AB)</f>
        <v>0</v>
      </c>
      <c r="Y35" s="29">
        <f>SUMIF(Parameters!$G:$G,$B35,Parameters!AC:AC)</f>
        <v>0</v>
      </c>
      <c r="Z35" s="29">
        <f>SUMIF(Parameters!$G:$G,$B35,Parameters!AD:AD)</f>
        <v>0</v>
      </c>
      <c r="AA35" s="29">
        <f>SUMIF(Parameters!$G:$G,$B35,Parameters!AE:AE)</f>
        <v>0</v>
      </c>
      <c r="AB35" s="29">
        <f>SUMIF(Parameters!$G:$G,$B35,Parameters!AF:AF)</f>
        <v>0</v>
      </c>
      <c r="AC35" s="29">
        <f>SUMIF(Parameters!$G:$G,$B35,Parameters!AG:AG)</f>
        <v>0</v>
      </c>
      <c r="AD35" s="29">
        <f>SUMIF(Parameters!$G:$G,$B35,Parameters!AH:AH)</f>
        <v>0</v>
      </c>
      <c r="AE35" s="29">
        <f>SUMIF(Parameters!$G:$G,$B35,Parameters!AI:AI)</f>
        <v>0</v>
      </c>
      <c r="AF35" s="29">
        <f>SUMIF(Parameters!$G:$G,$B35,Parameters!AJ:AJ)</f>
        <v>0</v>
      </c>
      <c r="AG35" s="29">
        <f>SUMIF(Parameters!$G:$G,$B35,Parameters!AK:AK)</f>
        <v>0</v>
      </c>
      <c r="AH35" s="29">
        <f>SUMIF(Parameters!$G:$G,$B35,Parameters!AL:AL)</f>
        <v>0</v>
      </c>
      <c r="AI35" s="29">
        <f>SUMIF(Parameters!$G:$G,$B35,Parameters!AM:AM)</f>
        <v>0</v>
      </c>
    </row>
    <row r="36" spans="2:35" x14ac:dyDescent="0.2">
      <c r="B36" s="25" t="str">
        <v>2.</v>
      </c>
      <c r="C36" s="25" t="str">
        <f t="shared" si="2"/>
        <v>Operating and Maintenance Expenditures</v>
      </c>
      <c r="D36" s="26">
        <f t="shared" si="4"/>
        <v>232000</v>
      </c>
      <c r="E36" s="23"/>
      <c r="F36" s="26">
        <f>SUBTOTAL(9,F37)</f>
        <v>0</v>
      </c>
      <c r="G36" s="26">
        <f t="shared" ref="G36:AI36" si="10">SUBTOTAL(9,G37)</f>
        <v>8000</v>
      </c>
      <c r="H36" s="26">
        <f t="shared" si="10"/>
        <v>8000</v>
      </c>
      <c r="I36" s="26">
        <f t="shared" si="10"/>
        <v>8000</v>
      </c>
      <c r="J36" s="26">
        <f t="shared" si="10"/>
        <v>8000</v>
      </c>
      <c r="K36" s="26">
        <f t="shared" si="10"/>
        <v>8000</v>
      </c>
      <c r="L36" s="26">
        <f t="shared" si="10"/>
        <v>8000</v>
      </c>
      <c r="M36" s="26">
        <f t="shared" si="10"/>
        <v>8000</v>
      </c>
      <c r="N36" s="26">
        <f t="shared" si="10"/>
        <v>8000</v>
      </c>
      <c r="O36" s="26">
        <f t="shared" si="10"/>
        <v>8000</v>
      </c>
      <c r="P36" s="26">
        <f t="shared" si="10"/>
        <v>8000</v>
      </c>
      <c r="Q36" s="26">
        <f t="shared" si="10"/>
        <v>8000</v>
      </c>
      <c r="R36" s="26">
        <f t="shared" si="10"/>
        <v>8000</v>
      </c>
      <c r="S36" s="26">
        <f t="shared" si="10"/>
        <v>8000</v>
      </c>
      <c r="T36" s="26">
        <f t="shared" si="10"/>
        <v>8000</v>
      </c>
      <c r="U36" s="26">
        <f t="shared" si="10"/>
        <v>8000</v>
      </c>
      <c r="V36" s="26">
        <f t="shared" si="10"/>
        <v>8000</v>
      </c>
      <c r="W36" s="26">
        <f t="shared" si="10"/>
        <v>8000</v>
      </c>
      <c r="X36" s="26">
        <f t="shared" si="10"/>
        <v>8000</v>
      </c>
      <c r="Y36" s="26">
        <f t="shared" si="10"/>
        <v>8000</v>
      </c>
      <c r="Z36" s="26">
        <f t="shared" si="10"/>
        <v>8000</v>
      </c>
      <c r="AA36" s="26">
        <f t="shared" si="10"/>
        <v>8000</v>
      </c>
      <c r="AB36" s="26">
        <f t="shared" si="10"/>
        <v>8000</v>
      </c>
      <c r="AC36" s="26">
        <f t="shared" si="10"/>
        <v>8000</v>
      </c>
      <c r="AD36" s="26">
        <f t="shared" si="10"/>
        <v>8000</v>
      </c>
      <c r="AE36" s="26">
        <f t="shared" si="10"/>
        <v>8000</v>
      </c>
      <c r="AF36" s="26">
        <f t="shared" si="10"/>
        <v>8000</v>
      </c>
      <c r="AG36" s="26">
        <f t="shared" si="10"/>
        <v>8000</v>
      </c>
      <c r="AH36" s="26">
        <f t="shared" si="10"/>
        <v>8000</v>
      </c>
      <c r="AI36" s="26">
        <f t="shared" si="10"/>
        <v>8000</v>
      </c>
    </row>
    <row r="37" spans="2:35" x14ac:dyDescent="0.2">
      <c r="B37" s="27" t="str">
        <v>2.1</v>
      </c>
      <c r="C37" s="28" t="str">
        <f t="shared" si="2"/>
        <v>Maintenance on Second Track</v>
      </c>
      <c r="D37" s="29">
        <f t="shared" si="4"/>
        <v>232000</v>
      </c>
      <c r="E37" s="24"/>
      <c r="F37" s="29">
        <f>SUMIF(Parameters!$G:$G,$B37,Parameters!J:J)</f>
        <v>0</v>
      </c>
      <c r="G37" s="29">
        <f>SUMIF(Parameters!$G:$G,$B37,Parameters!K:K)</f>
        <v>8000</v>
      </c>
      <c r="H37" s="29">
        <f>SUMIF(Parameters!$G:$G,$B37,Parameters!L:L)</f>
        <v>8000</v>
      </c>
      <c r="I37" s="29">
        <f>SUMIF(Parameters!$G:$G,$B37,Parameters!M:M)</f>
        <v>8000</v>
      </c>
      <c r="J37" s="29">
        <f>SUMIF(Parameters!$G:$G,$B37,Parameters!N:N)</f>
        <v>8000</v>
      </c>
      <c r="K37" s="29">
        <f>SUMIF(Parameters!$G:$G,$B37,Parameters!O:O)</f>
        <v>8000</v>
      </c>
      <c r="L37" s="29">
        <f>SUMIF(Parameters!$G:$G,$B37,Parameters!P:P)</f>
        <v>8000</v>
      </c>
      <c r="M37" s="29">
        <f>SUMIF(Parameters!$G:$G,$B37,Parameters!Q:Q)</f>
        <v>8000</v>
      </c>
      <c r="N37" s="29">
        <f>SUMIF(Parameters!$G:$G,$B37,Parameters!R:R)</f>
        <v>8000</v>
      </c>
      <c r="O37" s="29">
        <f>SUMIF(Parameters!$G:$G,$B37,Parameters!S:S)</f>
        <v>8000</v>
      </c>
      <c r="P37" s="29">
        <f>SUMIF(Parameters!$G:$G,$B37,Parameters!T:T)</f>
        <v>8000</v>
      </c>
      <c r="Q37" s="29">
        <f>SUMIF(Parameters!$G:$G,$B37,Parameters!U:U)</f>
        <v>8000</v>
      </c>
      <c r="R37" s="29">
        <f>SUMIF(Parameters!$G:$G,$B37,Parameters!V:V)</f>
        <v>8000</v>
      </c>
      <c r="S37" s="29">
        <f>SUMIF(Parameters!$G:$G,$B37,Parameters!W:W)</f>
        <v>8000</v>
      </c>
      <c r="T37" s="29">
        <f>SUMIF(Parameters!$G:$G,$B37,Parameters!X:X)</f>
        <v>8000</v>
      </c>
      <c r="U37" s="29">
        <f>SUMIF(Parameters!$G:$G,$B37,Parameters!Y:Y)</f>
        <v>8000</v>
      </c>
      <c r="V37" s="29">
        <f>SUMIF(Parameters!$G:$G,$B37,Parameters!Z:Z)</f>
        <v>8000</v>
      </c>
      <c r="W37" s="29">
        <f>SUMIF(Parameters!$G:$G,$B37,Parameters!AA:AA)</f>
        <v>8000</v>
      </c>
      <c r="X37" s="29">
        <f>SUMIF(Parameters!$G:$G,$B37,Parameters!AB:AB)</f>
        <v>8000</v>
      </c>
      <c r="Y37" s="29">
        <f>SUMIF(Parameters!$G:$G,$B37,Parameters!AC:AC)</f>
        <v>8000</v>
      </c>
      <c r="Z37" s="29">
        <f>SUMIF(Parameters!$G:$G,$B37,Parameters!AD:AD)</f>
        <v>8000</v>
      </c>
      <c r="AA37" s="29">
        <f>SUMIF(Parameters!$G:$G,$B37,Parameters!AE:AE)</f>
        <v>8000</v>
      </c>
      <c r="AB37" s="29">
        <f>SUMIF(Parameters!$G:$G,$B37,Parameters!AF:AF)</f>
        <v>8000</v>
      </c>
      <c r="AC37" s="29">
        <f>SUMIF(Parameters!$G:$G,$B37,Parameters!AG:AG)</f>
        <v>8000</v>
      </c>
      <c r="AD37" s="29">
        <f>SUMIF(Parameters!$G:$G,$B37,Parameters!AH:AH)</f>
        <v>8000</v>
      </c>
      <c r="AE37" s="29">
        <f>SUMIF(Parameters!$G:$G,$B37,Parameters!AI:AI)</f>
        <v>8000</v>
      </c>
      <c r="AF37" s="29">
        <f>SUMIF(Parameters!$G:$G,$B37,Parameters!AJ:AJ)</f>
        <v>8000</v>
      </c>
      <c r="AG37" s="29">
        <f>SUMIF(Parameters!$G:$G,$B37,Parameters!AK:AK)</f>
        <v>8000</v>
      </c>
      <c r="AH37" s="29">
        <f>SUMIF(Parameters!$G:$G,$B37,Parameters!AL:AL)</f>
        <v>8000</v>
      </c>
      <c r="AI37" s="29">
        <f>SUMIF(Parameters!$G:$G,$B37,Parameters!AM:AM)</f>
        <v>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M510"/>
  <sheetViews>
    <sheetView showGridLines="0" topLeftCell="A4" zoomScale="80" zoomScaleNormal="80" workbookViewId="0">
      <selection activeCell="F42" sqref="F42"/>
    </sheetView>
  </sheetViews>
  <sheetFormatPr defaultRowHeight="12.75" x14ac:dyDescent="0.2"/>
  <cols>
    <col min="1" max="1" width="1.7109375" style="50" customWidth="1"/>
    <col min="2" max="2" width="14.85546875" style="50" customWidth="1"/>
    <col min="3" max="3" width="54.42578125" style="50" customWidth="1"/>
    <col min="4" max="4" width="12.140625" style="50" bestFit="1" customWidth="1"/>
    <col min="5" max="5" width="16.42578125" style="50" customWidth="1"/>
    <col min="6" max="6" width="37.140625" style="50" bestFit="1" customWidth="1"/>
    <col min="7" max="7" width="13" style="50" bestFit="1" customWidth="1"/>
    <col min="8" max="8" width="30.85546875" style="50" customWidth="1"/>
    <col min="9" max="9" width="9.85546875" style="50" bestFit="1" customWidth="1"/>
    <col min="10" max="10" width="14.42578125" style="50" bestFit="1" customWidth="1"/>
    <col min="11" max="11" width="12" style="50" bestFit="1" customWidth="1"/>
    <col min="12" max="24" width="10.85546875" style="50" bestFit="1" customWidth="1"/>
    <col min="25" max="27" width="12" style="50" bestFit="1" customWidth="1"/>
    <col min="28" max="39" width="10.85546875" style="50" bestFit="1" customWidth="1"/>
    <col min="40" max="16384" width="9.140625" style="50"/>
  </cols>
  <sheetData>
    <row r="1" spans="2:6" x14ac:dyDescent="0.2">
      <c r="B1" s="2" t="s">
        <v>87</v>
      </c>
    </row>
    <row r="3" spans="2:6" x14ac:dyDescent="0.2">
      <c r="B3" s="3" t="s">
        <v>142</v>
      </c>
    </row>
    <row r="5" spans="2:6" x14ac:dyDescent="0.2">
      <c r="B5" s="51" t="s">
        <v>143</v>
      </c>
      <c r="C5" s="22">
        <v>2015</v>
      </c>
    </row>
    <row r="6" spans="2:6" x14ac:dyDescent="0.2">
      <c r="B6" s="51" t="s">
        <v>144</v>
      </c>
      <c r="C6" s="22">
        <v>30</v>
      </c>
    </row>
    <row r="7" spans="2:6" x14ac:dyDescent="0.2">
      <c r="F7" s="52"/>
    </row>
    <row r="8" spans="2:6" x14ac:dyDescent="0.2">
      <c r="B8" s="3" t="s">
        <v>89</v>
      </c>
    </row>
    <row r="10" spans="2:6" x14ac:dyDescent="0.2">
      <c r="B10" s="2" t="s">
        <v>11</v>
      </c>
      <c r="C10" s="2" t="s">
        <v>12</v>
      </c>
      <c r="D10" s="2" t="s">
        <v>90</v>
      </c>
      <c r="E10" s="2" t="s">
        <v>91</v>
      </c>
      <c r="F10" s="2" t="s">
        <v>92</v>
      </c>
    </row>
    <row r="11" spans="2:6" x14ac:dyDescent="0.2">
      <c r="B11" s="12" t="s">
        <v>93</v>
      </c>
      <c r="C11" s="13" t="s">
        <v>94</v>
      </c>
      <c r="D11" s="51" t="b">
        <f ca="1">NOT(LEFT(OFFSET(B11,1,0),LEN(B11))=B11)</f>
        <v>0</v>
      </c>
      <c r="E11" s="73" t="str">
        <f t="shared" ref="E11:E42" ca="1" si="0">IF(D11,B11,"")</f>
        <v/>
      </c>
      <c r="F11" s="13" t="s">
        <v>113</v>
      </c>
    </row>
    <row r="12" spans="2:6" x14ac:dyDescent="0.2">
      <c r="B12" s="12" t="s">
        <v>27</v>
      </c>
      <c r="C12" s="13" t="s">
        <v>95</v>
      </c>
      <c r="D12" s="51" t="b">
        <f t="shared" ref="D12:D42" ca="1" si="1">NOT(LEFT(OFFSET(B12,1,0),LEN(B12))=B12)</f>
        <v>1</v>
      </c>
      <c r="E12" s="73" t="str">
        <f t="shared" ca="1" si="0"/>
        <v>1.1</v>
      </c>
      <c r="F12" s="13" t="s">
        <v>95</v>
      </c>
    </row>
    <row r="13" spans="2:6" x14ac:dyDescent="0.2">
      <c r="B13" s="12" t="s">
        <v>96</v>
      </c>
      <c r="C13" s="13" t="s">
        <v>97</v>
      </c>
      <c r="D13" s="51" t="b">
        <f t="shared" ca="1" si="1"/>
        <v>0</v>
      </c>
      <c r="E13" s="73" t="str">
        <f t="shared" ca="1" si="0"/>
        <v/>
      </c>
      <c r="F13" s="13" t="s">
        <v>97</v>
      </c>
    </row>
    <row r="14" spans="2:6" x14ac:dyDescent="0.2">
      <c r="B14" s="12" t="s">
        <v>24</v>
      </c>
      <c r="C14" s="13" t="s">
        <v>13</v>
      </c>
      <c r="D14" s="51" t="b">
        <f t="shared" ca="1" si="1"/>
        <v>1</v>
      </c>
      <c r="E14" s="73" t="str">
        <f t="shared" ca="1" si="0"/>
        <v>1.2.1</v>
      </c>
      <c r="F14" s="13" t="s">
        <v>13</v>
      </c>
    </row>
    <row r="15" spans="2:6" x14ac:dyDescent="0.2">
      <c r="B15" s="12" t="s">
        <v>38</v>
      </c>
      <c r="C15" s="13" t="s">
        <v>33</v>
      </c>
      <c r="D15" s="51" t="b">
        <f t="shared" ca="1" si="1"/>
        <v>1</v>
      </c>
      <c r="E15" s="73" t="str">
        <f t="shared" ca="1" si="0"/>
        <v>1.2.2</v>
      </c>
      <c r="F15" s="13" t="s">
        <v>114</v>
      </c>
    </row>
    <row r="16" spans="2:6" x14ac:dyDescent="0.2">
      <c r="B16" s="12" t="s">
        <v>41</v>
      </c>
      <c r="C16" s="13" t="s">
        <v>39</v>
      </c>
      <c r="D16" s="51" t="b">
        <f t="shared" ca="1" si="1"/>
        <v>1</v>
      </c>
      <c r="E16" s="73" t="str">
        <f t="shared" ca="1" si="0"/>
        <v>1.2.3</v>
      </c>
      <c r="F16" s="13" t="s">
        <v>115</v>
      </c>
    </row>
    <row r="17" spans="2:6" x14ac:dyDescent="0.2">
      <c r="B17" s="12" t="s">
        <v>98</v>
      </c>
      <c r="C17" s="13" t="s">
        <v>99</v>
      </c>
      <c r="D17" s="51" t="b">
        <f t="shared" ca="1" si="1"/>
        <v>0</v>
      </c>
      <c r="E17" s="73" t="str">
        <f t="shared" ca="1" si="0"/>
        <v/>
      </c>
      <c r="F17" s="13" t="s">
        <v>99</v>
      </c>
    </row>
    <row r="18" spans="2:6" x14ac:dyDescent="0.2">
      <c r="B18" s="12" t="s">
        <v>43</v>
      </c>
      <c r="C18" s="13" t="s">
        <v>42</v>
      </c>
      <c r="D18" s="51" t="b">
        <f t="shared" ca="1" si="1"/>
        <v>1</v>
      </c>
      <c r="E18" s="73" t="str">
        <f t="shared" ca="1" si="0"/>
        <v>1.3.1</v>
      </c>
      <c r="F18" s="13" t="s">
        <v>116</v>
      </c>
    </row>
    <row r="19" spans="2:6" x14ac:dyDescent="0.2">
      <c r="B19" s="12" t="s">
        <v>45</v>
      </c>
      <c r="C19" s="13" t="s">
        <v>44</v>
      </c>
      <c r="D19" s="51" t="b">
        <f t="shared" ca="1" si="1"/>
        <v>1</v>
      </c>
      <c r="E19" s="73" t="str">
        <f t="shared" ca="1" si="0"/>
        <v>1.3.2</v>
      </c>
      <c r="F19" s="13" t="s">
        <v>117</v>
      </c>
    </row>
    <row r="20" spans="2:6" x14ac:dyDescent="0.2">
      <c r="B20" s="12" t="s">
        <v>48</v>
      </c>
      <c r="C20" s="13" t="s">
        <v>46</v>
      </c>
      <c r="D20" s="51" t="b">
        <f t="shared" ca="1" si="1"/>
        <v>1</v>
      </c>
      <c r="E20" s="73" t="str">
        <f t="shared" ca="1" si="0"/>
        <v>1.3.3</v>
      </c>
      <c r="F20" s="13" t="s">
        <v>118</v>
      </c>
    </row>
    <row r="21" spans="2:6" x14ac:dyDescent="0.2">
      <c r="B21" s="12" t="s">
        <v>100</v>
      </c>
      <c r="C21" s="13" t="s">
        <v>101</v>
      </c>
      <c r="D21" s="51" t="b">
        <f t="shared" ca="1" si="1"/>
        <v>0</v>
      </c>
      <c r="E21" s="73" t="str">
        <f t="shared" ca="1" si="0"/>
        <v/>
      </c>
      <c r="F21" s="13" t="s">
        <v>101</v>
      </c>
    </row>
    <row r="22" spans="2:6" x14ac:dyDescent="0.2">
      <c r="B22" s="12" t="s">
        <v>50</v>
      </c>
      <c r="C22" s="13" t="s">
        <v>102</v>
      </c>
      <c r="D22" s="51" t="b">
        <f t="shared" ca="1" si="1"/>
        <v>1</v>
      </c>
      <c r="E22" s="73" t="str">
        <f t="shared" ca="1" si="0"/>
        <v>1.4.1</v>
      </c>
      <c r="F22" s="13" t="s">
        <v>119</v>
      </c>
    </row>
    <row r="23" spans="2:6" x14ac:dyDescent="0.2">
      <c r="B23" s="12" t="s">
        <v>52</v>
      </c>
      <c r="C23" s="13" t="s">
        <v>51</v>
      </c>
      <c r="D23" s="51" t="b">
        <f t="shared" ca="1" si="1"/>
        <v>1</v>
      </c>
      <c r="E23" s="73" t="str">
        <f t="shared" ca="1" si="0"/>
        <v>1.4.2</v>
      </c>
      <c r="F23" s="13" t="s">
        <v>120</v>
      </c>
    </row>
    <row r="24" spans="2:6" x14ac:dyDescent="0.2">
      <c r="B24" s="12" t="s">
        <v>54</v>
      </c>
      <c r="C24" s="13" t="s">
        <v>53</v>
      </c>
      <c r="D24" s="51" t="b">
        <f t="shared" ca="1" si="1"/>
        <v>1</v>
      </c>
      <c r="E24" s="73" t="str">
        <f t="shared" ca="1" si="0"/>
        <v>1.4.3</v>
      </c>
      <c r="F24" s="13" t="s">
        <v>121</v>
      </c>
    </row>
    <row r="25" spans="2:6" x14ac:dyDescent="0.2">
      <c r="B25" s="12" t="s">
        <v>56</v>
      </c>
      <c r="C25" s="13" t="s">
        <v>55</v>
      </c>
      <c r="D25" s="51" t="b">
        <f t="shared" ca="1" si="1"/>
        <v>1</v>
      </c>
      <c r="E25" s="73" t="str">
        <f t="shared" ca="1" si="0"/>
        <v>1.4.4</v>
      </c>
      <c r="F25" s="13" t="s">
        <v>122</v>
      </c>
    </row>
    <row r="26" spans="2:6" x14ac:dyDescent="0.2">
      <c r="B26" s="12" t="s">
        <v>58</v>
      </c>
      <c r="C26" s="13" t="s">
        <v>57</v>
      </c>
      <c r="D26" s="51" t="b">
        <f t="shared" ca="1" si="1"/>
        <v>1</v>
      </c>
      <c r="E26" s="73" t="str">
        <f t="shared" ca="1" si="0"/>
        <v>1.4.5</v>
      </c>
      <c r="F26" s="13" t="s">
        <v>123</v>
      </c>
    </row>
    <row r="27" spans="2:6" x14ac:dyDescent="0.2">
      <c r="B27" s="12" t="s">
        <v>60</v>
      </c>
      <c r="C27" s="13" t="s">
        <v>59</v>
      </c>
      <c r="D27" s="51" t="b">
        <f t="shared" ca="1" si="1"/>
        <v>1</v>
      </c>
      <c r="E27" s="73" t="str">
        <f t="shared" ca="1" si="0"/>
        <v>1.4.6</v>
      </c>
      <c r="F27" s="13" t="s">
        <v>124</v>
      </c>
    </row>
    <row r="28" spans="2:6" x14ac:dyDescent="0.2">
      <c r="B28" s="12" t="s">
        <v>63</v>
      </c>
      <c r="C28" s="13" t="s">
        <v>61</v>
      </c>
      <c r="D28" s="51" t="b">
        <f t="shared" ca="1" si="1"/>
        <v>1</v>
      </c>
      <c r="E28" s="73" t="str">
        <f t="shared" ca="1" si="0"/>
        <v>1.4.7</v>
      </c>
      <c r="F28" s="13" t="s">
        <v>61</v>
      </c>
    </row>
    <row r="29" spans="2:6" x14ac:dyDescent="0.2">
      <c r="B29" s="12" t="s">
        <v>103</v>
      </c>
      <c r="C29" s="13" t="s">
        <v>104</v>
      </c>
      <c r="D29" s="51" t="b">
        <f t="shared" ca="1" si="1"/>
        <v>0</v>
      </c>
      <c r="E29" s="73" t="str">
        <f t="shared" ca="1" si="0"/>
        <v/>
      </c>
      <c r="F29" s="13" t="s">
        <v>125</v>
      </c>
    </row>
    <row r="30" spans="2:6" x14ac:dyDescent="0.2">
      <c r="B30" s="12" t="s">
        <v>66</v>
      </c>
      <c r="C30" s="13" t="s">
        <v>64</v>
      </c>
      <c r="D30" s="51" t="b">
        <f t="shared" ca="1" si="1"/>
        <v>1</v>
      </c>
      <c r="E30" s="73" t="str">
        <f t="shared" ca="1" si="0"/>
        <v>1.5.1</v>
      </c>
      <c r="F30" s="13" t="s">
        <v>126</v>
      </c>
    </row>
    <row r="31" spans="2:6" x14ac:dyDescent="0.2">
      <c r="B31" s="12" t="s">
        <v>68</v>
      </c>
      <c r="C31" s="13" t="s">
        <v>67</v>
      </c>
      <c r="D31" s="51" t="b">
        <f t="shared" ca="1" si="1"/>
        <v>1</v>
      </c>
      <c r="E31" s="73" t="str">
        <f t="shared" ca="1" si="0"/>
        <v>1.5.2</v>
      </c>
      <c r="F31" s="13" t="s">
        <v>127</v>
      </c>
    </row>
    <row r="32" spans="2:6" x14ac:dyDescent="0.2">
      <c r="B32" s="12" t="s">
        <v>70</v>
      </c>
      <c r="C32" s="13" t="s">
        <v>69</v>
      </c>
      <c r="D32" s="51" t="b">
        <f t="shared" ca="1" si="1"/>
        <v>1</v>
      </c>
      <c r="E32" s="73" t="str">
        <f t="shared" ca="1" si="0"/>
        <v>1.5.3</v>
      </c>
      <c r="F32" s="13" t="s">
        <v>128</v>
      </c>
    </row>
    <row r="33" spans="2:39" x14ac:dyDescent="0.2">
      <c r="B33" s="12" t="s">
        <v>72</v>
      </c>
      <c r="C33" s="13" t="s">
        <v>71</v>
      </c>
      <c r="D33" s="51" t="b">
        <f t="shared" ca="1" si="1"/>
        <v>1</v>
      </c>
      <c r="E33" s="73" t="str">
        <f t="shared" ca="1" si="0"/>
        <v>1.5.4</v>
      </c>
      <c r="F33" s="13" t="s">
        <v>129</v>
      </c>
    </row>
    <row r="34" spans="2:39" x14ac:dyDescent="0.2">
      <c r="B34" s="12" t="s">
        <v>74</v>
      </c>
      <c r="C34" s="13" t="s">
        <v>73</v>
      </c>
      <c r="D34" s="51" t="b">
        <f t="shared" ca="1" si="1"/>
        <v>1</v>
      </c>
      <c r="E34" s="73" t="str">
        <f t="shared" ca="1" si="0"/>
        <v>1.5.5</v>
      </c>
      <c r="F34" s="13" t="s">
        <v>130</v>
      </c>
    </row>
    <row r="35" spans="2:39" x14ac:dyDescent="0.2">
      <c r="B35" s="12" t="s">
        <v>76</v>
      </c>
      <c r="C35" s="13" t="s">
        <v>105</v>
      </c>
      <c r="D35" s="51" t="b">
        <f t="shared" ca="1" si="1"/>
        <v>1</v>
      </c>
      <c r="E35" s="73" t="str">
        <f t="shared" ca="1" si="0"/>
        <v>1.5.6</v>
      </c>
      <c r="F35" s="13" t="s">
        <v>131</v>
      </c>
    </row>
    <row r="36" spans="2:39" x14ac:dyDescent="0.2">
      <c r="B36" s="12" t="s">
        <v>78</v>
      </c>
      <c r="C36" s="13" t="s">
        <v>106</v>
      </c>
      <c r="D36" s="51" t="b">
        <f t="shared" ca="1" si="1"/>
        <v>1</v>
      </c>
      <c r="E36" s="73" t="str">
        <f t="shared" ca="1" si="0"/>
        <v>1.5.7</v>
      </c>
      <c r="F36" s="13" t="s">
        <v>132</v>
      </c>
    </row>
    <row r="37" spans="2:39" x14ac:dyDescent="0.2">
      <c r="B37" s="12" t="s">
        <v>107</v>
      </c>
      <c r="C37" s="13" t="s">
        <v>108</v>
      </c>
      <c r="D37" s="51" t="b">
        <f t="shared" ca="1" si="1"/>
        <v>0</v>
      </c>
      <c r="E37" s="73" t="str">
        <f t="shared" ca="1" si="0"/>
        <v/>
      </c>
      <c r="F37" s="13" t="s">
        <v>133</v>
      </c>
    </row>
    <row r="38" spans="2:39" x14ac:dyDescent="0.2">
      <c r="B38" s="12" t="s">
        <v>80</v>
      </c>
      <c r="C38" s="13" t="s">
        <v>79</v>
      </c>
      <c r="D38" s="51" t="b">
        <f t="shared" ca="1" si="1"/>
        <v>1</v>
      </c>
      <c r="E38" s="73" t="str">
        <f t="shared" ca="1" si="0"/>
        <v>1.6.1</v>
      </c>
      <c r="F38" s="13" t="s">
        <v>134</v>
      </c>
    </row>
    <row r="39" spans="2:39" x14ac:dyDescent="0.2">
      <c r="B39" s="12" t="s">
        <v>83</v>
      </c>
      <c r="C39" s="13" t="s">
        <v>81</v>
      </c>
      <c r="D39" s="51" t="b">
        <f t="shared" ca="1" si="1"/>
        <v>1</v>
      </c>
      <c r="E39" s="73" t="str">
        <f t="shared" ca="1" si="0"/>
        <v>1.6.2</v>
      </c>
      <c r="F39" s="13" t="s">
        <v>135</v>
      </c>
    </row>
    <row r="40" spans="2:39" x14ac:dyDescent="0.2">
      <c r="B40" s="12" t="s">
        <v>30</v>
      </c>
      <c r="C40" s="13" t="s">
        <v>109</v>
      </c>
      <c r="D40" s="51" t="b">
        <f t="shared" ca="1" si="1"/>
        <v>1</v>
      </c>
      <c r="E40" s="73" t="str">
        <f t="shared" ca="1" si="0"/>
        <v>1.7</v>
      </c>
      <c r="F40" s="13" t="s">
        <v>109</v>
      </c>
    </row>
    <row r="41" spans="2:39" x14ac:dyDescent="0.2">
      <c r="B41" s="12" t="s">
        <v>110</v>
      </c>
      <c r="C41" s="13" t="s">
        <v>111</v>
      </c>
      <c r="D41" s="51" t="b">
        <f t="shared" ca="1" si="1"/>
        <v>0</v>
      </c>
      <c r="E41" s="73" t="str">
        <f t="shared" ca="1" si="0"/>
        <v/>
      </c>
      <c r="F41" s="13" t="s">
        <v>136</v>
      </c>
    </row>
    <row r="42" spans="2:39" x14ac:dyDescent="0.2">
      <c r="B42" s="12" t="s">
        <v>86</v>
      </c>
      <c r="C42" s="13" t="s">
        <v>112</v>
      </c>
      <c r="D42" s="51" t="b">
        <f t="shared" ca="1" si="1"/>
        <v>1</v>
      </c>
      <c r="E42" s="73" t="str">
        <f t="shared" ca="1" si="0"/>
        <v>2.1</v>
      </c>
      <c r="F42" s="13" t="s">
        <v>137</v>
      </c>
    </row>
    <row r="44" spans="2:39" x14ac:dyDescent="0.2">
      <c r="B44" s="21" t="s">
        <v>138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2:39" x14ac:dyDescent="0.2">
      <c r="B45" s="11" t="s">
        <v>88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2:39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2:39" x14ac:dyDescent="0.2">
      <c r="B47" s="10" t="s">
        <v>10</v>
      </c>
      <c r="C47" s="11"/>
      <c r="D47" s="11"/>
      <c r="E47" s="11"/>
      <c r="F47" s="15" t="s">
        <v>139</v>
      </c>
      <c r="G47" s="15" t="s">
        <v>11</v>
      </c>
      <c r="H47" s="15" t="s">
        <v>12</v>
      </c>
      <c r="I47" s="11"/>
      <c r="J47" s="15">
        <f>Start_Year</f>
        <v>2015</v>
      </c>
      <c r="K47" s="15">
        <f t="shared" ref="K47:AM47" si="2">J47+1</f>
        <v>2016</v>
      </c>
      <c r="L47" s="15">
        <f t="shared" si="2"/>
        <v>2017</v>
      </c>
      <c r="M47" s="15">
        <f t="shared" si="2"/>
        <v>2018</v>
      </c>
      <c r="N47" s="15">
        <f t="shared" si="2"/>
        <v>2019</v>
      </c>
      <c r="O47" s="15">
        <f t="shared" si="2"/>
        <v>2020</v>
      </c>
      <c r="P47" s="15">
        <f t="shared" si="2"/>
        <v>2021</v>
      </c>
      <c r="Q47" s="15">
        <f t="shared" si="2"/>
        <v>2022</v>
      </c>
      <c r="R47" s="15">
        <f t="shared" si="2"/>
        <v>2023</v>
      </c>
      <c r="S47" s="15">
        <f t="shared" si="2"/>
        <v>2024</v>
      </c>
      <c r="T47" s="15">
        <f t="shared" si="2"/>
        <v>2025</v>
      </c>
      <c r="U47" s="15">
        <f t="shared" si="2"/>
        <v>2026</v>
      </c>
      <c r="V47" s="15">
        <f t="shared" si="2"/>
        <v>2027</v>
      </c>
      <c r="W47" s="15">
        <f t="shared" si="2"/>
        <v>2028</v>
      </c>
      <c r="X47" s="15">
        <f t="shared" si="2"/>
        <v>2029</v>
      </c>
      <c r="Y47" s="15">
        <f t="shared" si="2"/>
        <v>2030</v>
      </c>
      <c r="Z47" s="15">
        <f t="shared" si="2"/>
        <v>2031</v>
      </c>
      <c r="AA47" s="15">
        <f t="shared" si="2"/>
        <v>2032</v>
      </c>
      <c r="AB47" s="15">
        <f t="shared" si="2"/>
        <v>2033</v>
      </c>
      <c r="AC47" s="15">
        <f t="shared" si="2"/>
        <v>2034</v>
      </c>
      <c r="AD47" s="15">
        <f t="shared" si="2"/>
        <v>2035</v>
      </c>
      <c r="AE47" s="15">
        <f t="shared" si="2"/>
        <v>2036</v>
      </c>
      <c r="AF47" s="15">
        <f t="shared" si="2"/>
        <v>2037</v>
      </c>
      <c r="AG47" s="15">
        <f t="shared" si="2"/>
        <v>2038</v>
      </c>
      <c r="AH47" s="15">
        <f t="shared" si="2"/>
        <v>2039</v>
      </c>
      <c r="AI47" s="15">
        <f t="shared" si="2"/>
        <v>2040</v>
      </c>
      <c r="AJ47" s="15">
        <f t="shared" si="2"/>
        <v>2041</v>
      </c>
      <c r="AK47" s="15">
        <f t="shared" si="2"/>
        <v>2042</v>
      </c>
      <c r="AL47" s="15">
        <f t="shared" si="2"/>
        <v>2043</v>
      </c>
      <c r="AM47" s="15">
        <f t="shared" si="2"/>
        <v>2044</v>
      </c>
    </row>
    <row r="48" spans="2:39" x14ac:dyDescent="0.2">
      <c r="B48" s="10" t="s">
        <v>13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2:39" x14ac:dyDescent="0.2">
      <c r="B49" s="11"/>
      <c r="C49" s="51" t="s">
        <v>14</v>
      </c>
      <c r="D49" s="53">
        <f>D51*D50</f>
        <v>688825.60002689995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2:39" x14ac:dyDescent="0.2">
      <c r="B50" s="11"/>
      <c r="C50" s="51" t="s">
        <v>15</v>
      </c>
      <c r="D50" s="16">
        <v>80.00297329</v>
      </c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2:39" x14ac:dyDescent="0.2">
      <c r="B51" s="11"/>
      <c r="C51" s="51" t="s">
        <v>16</v>
      </c>
      <c r="D51" s="17">
        <v>8610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2:39" x14ac:dyDescent="0.2">
      <c r="B52" s="11"/>
      <c r="C52" s="51" t="s">
        <v>17</v>
      </c>
      <c r="D52" s="48" t="s">
        <v>18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2:39" x14ac:dyDescent="0.2">
      <c r="B53" s="11"/>
      <c r="C53" s="51" t="s">
        <v>19</v>
      </c>
      <c r="D53" s="18">
        <v>42005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2:39" x14ac:dyDescent="0.2">
      <c r="B54" s="11"/>
      <c r="C54" s="51" t="s">
        <v>20</v>
      </c>
      <c r="D54" s="18">
        <v>42370</v>
      </c>
      <c r="E54" s="11"/>
      <c r="F54" s="48" t="s">
        <v>21</v>
      </c>
      <c r="G54" s="51"/>
      <c r="H54" s="51"/>
      <c r="I54" s="11"/>
      <c r="J54" s="20">
        <f t="shared" ref="J54:AC54" si="3">(MIN(MAX($D54,DATE(J$47,1,1)),DATE(J$47+1,1,1))-MIN(MAX($D53,DATE(J$47,1,1)),DATE(J$47+1,1,1)))</f>
        <v>365</v>
      </c>
      <c r="K54" s="20">
        <f t="shared" si="3"/>
        <v>0</v>
      </c>
      <c r="L54" s="20">
        <f t="shared" si="3"/>
        <v>0</v>
      </c>
      <c r="M54" s="20">
        <f t="shared" si="3"/>
        <v>0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20">
        <f t="shared" si="3"/>
        <v>0</v>
      </c>
      <c r="R54" s="20">
        <f t="shared" si="3"/>
        <v>0</v>
      </c>
      <c r="S54" s="20">
        <f t="shared" si="3"/>
        <v>0</v>
      </c>
      <c r="T54" s="20">
        <f t="shared" si="3"/>
        <v>0</v>
      </c>
      <c r="U54" s="20">
        <f t="shared" si="3"/>
        <v>0</v>
      </c>
      <c r="V54" s="20">
        <f t="shared" si="3"/>
        <v>0</v>
      </c>
      <c r="W54" s="20">
        <f t="shared" si="3"/>
        <v>0</v>
      </c>
      <c r="X54" s="20">
        <f t="shared" si="3"/>
        <v>0</v>
      </c>
      <c r="Y54" s="20">
        <f t="shared" si="3"/>
        <v>0</v>
      </c>
      <c r="Z54" s="20">
        <f t="shared" si="3"/>
        <v>0</v>
      </c>
      <c r="AA54" s="20">
        <f t="shared" si="3"/>
        <v>0</v>
      </c>
      <c r="AB54" s="20">
        <f t="shared" si="3"/>
        <v>0</v>
      </c>
      <c r="AC54" s="20">
        <f t="shared" si="3"/>
        <v>0</v>
      </c>
      <c r="AD54" s="20">
        <f t="shared" ref="AD54:AM54" si="4">(MIN(MAX($D54,DATE(AD$47,1,1)),DATE(AD$47+1,1,1))-MIN(MAX($D53,DATE(AD$47,1,1)),DATE(AD$47+1,1,1)))</f>
        <v>0</v>
      </c>
      <c r="AE54" s="20">
        <f t="shared" si="4"/>
        <v>0</v>
      </c>
      <c r="AF54" s="20">
        <f t="shared" si="4"/>
        <v>0</v>
      </c>
      <c r="AG54" s="20">
        <f t="shared" si="4"/>
        <v>0</v>
      </c>
      <c r="AH54" s="20">
        <f t="shared" si="4"/>
        <v>0</v>
      </c>
      <c r="AI54" s="20">
        <f t="shared" si="4"/>
        <v>0</v>
      </c>
      <c r="AJ54" s="20">
        <f t="shared" si="4"/>
        <v>0</v>
      </c>
      <c r="AK54" s="20">
        <f t="shared" si="4"/>
        <v>0</v>
      </c>
      <c r="AL54" s="20">
        <f t="shared" si="4"/>
        <v>0</v>
      </c>
      <c r="AM54" s="20">
        <f t="shared" si="4"/>
        <v>0</v>
      </c>
    </row>
    <row r="55" spans="2:39" x14ac:dyDescent="0.2">
      <c r="B55" s="11"/>
      <c r="C55" s="51" t="s">
        <v>22</v>
      </c>
      <c r="D55" s="54">
        <f>D54-D53</f>
        <v>365</v>
      </c>
      <c r="E55" s="11"/>
      <c r="F55" s="48" t="s">
        <v>23</v>
      </c>
      <c r="G55" s="51" t="s">
        <v>24</v>
      </c>
      <c r="H55" s="51" t="str">
        <f ca="1">IFERROR(INDEX(CES_Short,MATCH(Parameters!G55,CES_Pick,0)),"")</f>
        <v>Earthworks</v>
      </c>
      <c r="I55" s="11"/>
      <c r="J55" s="53">
        <f t="shared" ref="J55:AC55" si="5">$D49*J54/SUM($J54:$AC54)</f>
        <v>688825.60002689995</v>
      </c>
      <c r="K55" s="53">
        <f t="shared" si="5"/>
        <v>0</v>
      </c>
      <c r="L55" s="53">
        <f t="shared" si="5"/>
        <v>0</v>
      </c>
      <c r="M55" s="53">
        <f t="shared" si="5"/>
        <v>0</v>
      </c>
      <c r="N55" s="53">
        <f t="shared" si="5"/>
        <v>0</v>
      </c>
      <c r="O55" s="53">
        <f t="shared" si="5"/>
        <v>0</v>
      </c>
      <c r="P55" s="53">
        <f t="shared" si="5"/>
        <v>0</v>
      </c>
      <c r="Q55" s="53">
        <f t="shared" si="5"/>
        <v>0</v>
      </c>
      <c r="R55" s="53">
        <f t="shared" si="5"/>
        <v>0</v>
      </c>
      <c r="S55" s="53">
        <f t="shared" si="5"/>
        <v>0</v>
      </c>
      <c r="T55" s="53">
        <f t="shared" si="5"/>
        <v>0</v>
      </c>
      <c r="U55" s="53">
        <f t="shared" si="5"/>
        <v>0</v>
      </c>
      <c r="V55" s="53">
        <f t="shared" si="5"/>
        <v>0</v>
      </c>
      <c r="W55" s="53">
        <f t="shared" si="5"/>
        <v>0</v>
      </c>
      <c r="X55" s="53">
        <f t="shared" si="5"/>
        <v>0</v>
      </c>
      <c r="Y55" s="53">
        <f t="shared" si="5"/>
        <v>0</v>
      </c>
      <c r="Z55" s="53">
        <f t="shared" si="5"/>
        <v>0</v>
      </c>
      <c r="AA55" s="53">
        <f t="shared" si="5"/>
        <v>0</v>
      </c>
      <c r="AB55" s="53">
        <f t="shared" si="5"/>
        <v>0</v>
      </c>
      <c r="AC55" s="53">
        <f t="shared" si="5"/>
        <v>0</v>
      </c>
      <c r="AD55" s="53">
        <f t="shared" ref="AD55:AM55" si="6">$D49*AD54/SUM($J54:$AC54)</f>
        <v>0</v>
      </c>
      <c r="AE55" s="53">
        <f t="shared" si="6"/>
        <v>0</v>
      </c>
      <c r="AF55" s="53">
        <f t="shared" si="6"/>
        <v>0</v>
      </c>
      <c r="AG55" s="53">
        <f t="shared" si="6"/>
        <v>0</v>
      </c>
      <c r="AH55" s="53">
        <f t="shared" si="6"/>
        <v>0</v>
      </c>
      <c r="AI55" s="53">
        <f t="shared" si="6"/>
        <v>0</v>
      </c>
      <c r="AJ55" s="53">
        <f t="shared" si="6"/>
        <v>0</v>
      </c>
      <c r="AK55" s="53">
        <f t="shared" si="6"/>
        <v>0</v>
      </c>
      <c r="AL55" s="53">
        <f t="shared" si="6"/>
        <v>0</v>
      </c>
      <c r="AM55" s="53">
        <f t="shared" si="6"/>
        <v>0</v>
      </c>
    </row>
    <row r="56" spans="2:39" x14ac:dyDescent="0.2">
      <c r="B56" s="11"/>
      <c r="C56" s="55" t="s">
        <v>25</v>
      </c>
      <c r="D56" s="19">
        <v>0.1</v>
      </c>
      <c r="E56" s="11"/>
      <c r="F56" s="56" t="s">
        <v>26</v>
      </c>
      <c r="G56" s="51" t="s">
        <v>27</v>
      </c>
      <c r="H56" s="51" t="str">
        <f ca="1">IFERROR(INDEX(CES_Short,MATCH(Parameters!G56,CES_Pick,0)),"")</f>
        <v>Mobilization</v>
      </c>
      <c r="I56" s="11"/>
      <c r="J56" s="57">
        <f t="shared" ref="J56:AC56" si="7">J55*$D56</f>
        <v>68882.560002689992</v>
      </c>
      <c r="K56" s="57">
        <f t="shared" si="7"/>
        <v>0</v>
      </c>
      <c r="L56" s="57">
        <f t="shared" si="7"/>
        <v>0</v>
      </c>
      <c r="M56" s="57">
        <f t="shared" si="7"/>
        <v>0</v>
      </c>
      <c r="N56" s="57">
        <f t="shared" si="7"/>
        <v>0</v>
      </c>
      <c r="O56" s="57">
        <f t="shared" si="7"/>
        <v>0</v>
      </c>
      <c r="P56" s="57">
        <f t="shared" si="7"/>
        <v>0</v>
      </c>
      <c r="Q56" s="57">
        <f t="shared" si="7"/>
        <v>0</v>
      </c>
      <c r="R56" s="57">
        <f t="shared" si="7"/>
        <v>0</v>
      </c>
      <c r="S56" s="57">
        <f t="shared" si="7"/>
        <v>0</v>
      </c>
      <c r="T56" s="57">
        <f t="shared" si="7"/>
        <v>0</v>
      </c>
      <c r="U56" s="57">
        <f t="shared" si="7"/>
        <v>0</v>
      </c>
      <c r="V56" s="57">
        <f t="shared" si="7"/>
        <v>0</v>
      </c>
      <c r="W56" s="57">
        <f t="shared" si="7"/>
        <v>0</v>
      </c>
      <c r="X56" s="57">
        <f t="shared" si="7"/>
        <v>0</v>
      </c>
      <c r="Y56" s="57">
        <f t="shared" si="7"/>
        <v>0</v>
      </c>
      <c r="Z56" s="57">
        <f t="shared" si="7"/>
        <v>0</v>
      </c>
      <c r="AA56" s="57">
        <f t="shared" si="7"/>
        <v>0</v>
      </c>
      <c r="AB56" s="57">
        <f t="shared" si="7"/>
        <v>0</v>
      </c>
      <c r="AC56" s="57">
        <f t="shared" si="7"/>
        <v>0</v>
      </c>
      <c r="AD56" s="57">
        <f t="shared" ref="AD56:AM56" si="8">AD55*$D56</f>
        <v>0</v>
      </c>
      <c r="AE56" s="57">
        <f t="shared" si="8"/>
        <v>0</v>
      </c>
      <c r="AF56" s="57">
        <f t="shared" si="8"/>
        <v>0</v>
      </c>
      <c r="AG56" s="57">
        <f t="shared" si="8"/>
        <v>0</v>
      </c>
      <c r="AH56" s="57">
        <f t="shared" si="8"/>
        <v>0</v>
      </c>
      <c r="AI56" s="57">
        <f t="shared" si="8"/>
        <v>0</v>
      </c>
      <c r="AJ56" s="57">
        <f t="shared" si="8"/>
        <v>0</v>
      </c>
      <c r="AK56" s="57">
        <f t="shared" si="8"/>
        <v>0</v>
      </c>
      <c r="AL56" s="57">
        <f t="shared" si="8"/>
        <v>0</v>
      </c>
      <c r="AM56" s="57">
        <f t="shared" si="8"/>
        <v>0</v>
      </c>
    </row>
    <row r="57" spans="2:39" x14ac:dyDescent="0.2">
      <c r="B57" s="11"/>
      <c r="C57" s="55" t="s">
        <v>28</v>
      </c>
      <c r="D57" s="19">
        <v>0.35</v>
      </c>
      <c r="E57" s="11"/>
      <c r="F57" s="56" t="s">
        <v>29</v>
      </c>
      <c r="G57" s="51" t="s">
        <v>30</v>
      </c>
      <c r="H57" s="51" t="str">
        <f ca="1">IFERROR(INDEX(CES_Short,MATCH(Parameters!G57,CES_Pick,0)),"")</f>
        <v>Contingency</v>
      </c>
      <c r="I57" s="11"/>
      <c r="J57" s="57">
        <f t="shared" ref="J57:AC57" si="9">(J55+J56)*$D57</f>
        <v>265197.85601035645</v>
      </c>
      <c r="K57" s="57">
        <f t="shared" si="9"/>
        <v>0</v>
      </c>
      <c r="L57" s="57">
        <f t="shared" si="9"/>
        <v>0</v>
      </c>
      <c r="M57" s="57">
        <f t="shared" si="9"/>
        <v>0</v>
      </c>
      <c r="N57" s="57">
        <f t="shared" si="9"/>
        <v>0</v>
      </c>
      <c r="O57" s="57">
        <f t="shared" si="9"/>
        <v>0</v>
      </c>
      <c r="P57" s="57">
        <f t="shared" si="9"/>
        <v>0</v>
      </c>
      <c r="Q57" s="57">
        <f t="shared" si="9"/>
        <v>0</v>
      </c>
      <c r="R57" s="57">
        <f t="shared" si="9"/>
        <v>0</v>
      </c>
      <c r="S57" s="57">
        <f t="shared" si="9"/>
        <v>0</v>
      </c>
      <c r="T57" s="57">
        <f t="shared" si="9"/>
        <v>0</v>
      </c>
      <c r="U57" s="57">
        <f t="shared" si="9"/>
        <v>0</v>
      </c>
      <c r="V57" s="57">
        <f t="shared" si="9"/>
        <v>0</v>
      </c>
      <c r="W57" s="57">
        <f t="shared" si="9"/>
        <v>0</v>
      </c>
      <c r="X57" s="57">
        <f t="shared" si="9"/>
        <v>0</v>
      </c>
      <c r="Y57" s="57">
        <f t="shared" si="9"/>
        <v>0</v>
      </c>
      <c r="Z57" s="57">
        <f t="shared" si="9"/>
        <v>0</v>
      </c>
      <c r="AA57" s="57">
        <f t="shared" si="9"/>
        <v>0</v>
      </c>
      <c r="AB57" s="57">
        <f t="shared" si="9"/>
        <v>0</v>
      </c>
      <c r="AC57" s="57">
        <f t="shared" si="9"/>
        <v>0</v>
      </c>
      <c r="AD57" s="57">
        <f t="shared" ref="AD57:AM57" si="10">(AD55+AD56)*$D57</f>
        <v>0</v>
      </c>
      <c r="AE57" s="57">
        <f t="shared" si="10"/>
        <v>0</v>
      </c>
      <c r="AF57" s="57">
        <f t="shared" si="10"/>
        <v>0</v>
      </c>
      <c r="AG57" s="57">
        <f t="shared" si="10"/>
        <v>0</v>
      </c>
      <c r="AH57" s="57">
        <f t="shared" si="10"/>
        <v>0</v>
      </c>
      <c r="AI57" s="57">
        <f t="shared" si="10"/>
        <v>0</v>
      </c>
      <c r="AJ57" s="57">
        <f t="shared" si="10"/>
        <v>0</v>
      </c>
      <c r="AK57" s="57">
        <f t="shared" si="10"/>
        <v>0</v>
      </c>
      <c r="AL57" s="57">
        <f t="shared" si="10"/>
        <v>0</v>
      </c>
      <c r="AM57" s="57">
        <f t="shared" si="10"/>
        <v>0</v>
      </c>
    </row>
    <row r="58" spans="2:39" ht="63.75" x14ac:dyDescent="0.2">
      <c r="B58" s="11"/>
      <c r="C58" s="51" t="s">
        <v>31</v>
      </c>
      <c r="D58" s="58" t="s">
        <v>32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spans="2:39" x14ac:dyDescent="0.2">
      <c r="B59" s="11"/>
      <c r="C59" s="11"/>
      <c r="D59" s="11"/>
      <c r="E59" s="11"/>
      <c r="F59" s="15" t="s">
        <v>139</v>
      </c>
      <c r="G59" s="15" t="s">
        <v>11</v>
      </c>
      <c r="H59" s="15" t="s">
        <v>12</v>
      </c>
      <c r="I59" s="11"/>
      <c r="J59" s="15">
        <f>Start_Year</f>
        <v>2015</v>
      </c>
      <c r="K59" s="15">
        <f t="shared" ref="K59:AM59" si="11">J59+1</f>
        <v>2016</v>
      </c>
      <c r="L59" s="15">
        <f t="shared" si="11"/>
        <v>2017</v>
      </c>
      <c r="M59" s="15">
        <f t="shared" si="11"/>
        <v>2018</v>
      </c>
      <c r="N59" s="15">
        <f t="shared" si="11"/>
        <v>2019</v>
      </c>
      <c r="O59" s="15">
        <f t="shared" si="11"/>
        <v>2020</v>
      </c>
      <c r="P59" s="15">
        <f t="shared" si="11"/>
        <v>2021</v>
      </c>
      <c r="Q59" s="15">
        <f t="shared" si="11"/>
        <v>2022</v>
      </c>
      <c r="R59" s="15">
        <f t="shared" si="11"/>
        <v>2023</v>
      </c>
      <c r="S59" s="15">
        <f t="shared" si="11"/>
        <v>2024</v>
      </c>
      <c r="T59" s="15">
        <f t="shared" si="11"/>
        <v>2025</v>
      </c>
      <c r="U59" s="15">
        <f t="shared" si="11"/>
        <v>2026</v>
      </c>
      <c r="V59" s="15">
        <f t="shared" si="11"/>
        <v>2027</v>
      </c>
      <c r="W59" s="15">
        <f t="shared" si="11"/>
        <v>2028</v>
      </c>
      <c r="X59" s="15">
        <f t="shared" si="11"/>
        <v>2029</v>
      </c>
      <c r="Y59" s="15">
        <f t="shared" si="11"/>
        <v>2030</v>
      </c>
      <c r="Z59" s="15">
        <f t="shared" si="11"/>
        <v>2031</v>
      </c>
      <c r="AA59" s="15">
        <f t="shared" si="11"/>
        <v>2032</v>
      </c>
      <c r="AB59" s="15">
        <f t="shared" si="11"/>
        <v>2033</v>
      </c>
      <c r="AC59" s="15">
        <f t="shared" si="11"/>
        <v>2034</v>
      </c>
      <c r="AD59" s="15">
        <f t="shared" si="11"/>
        <v>2035</v>
      </c>
      <c r="AE59" s="15">
        <f t="shared" si="11"/>
        <v>2036</v>
      </c>
      <c r="AF59" s="15">
        <f t="shared" si="11"/>
        <v>2037</v>
      </c>
      <c r="AG59" s="15">
        <f t="shared" si="11"/>
        <v>2038</v>
      </c>
      <c r="AH59" s="15">
        <f t="shared" si="11"/>
        <v>2039</v>
      </c>
      <c r="AI59" s="15">
        <f t="shared" si="11"/>
        <v>2040</v>
      </c>
      <c r="AJ59" s="15">
        <f t="shared" si="11"/>
        <v>2041</v>
      </c>
      <c r="AK59" s="15">
        <f t="shared" si="11"/>
        <v>2042</v>
      </c>
      <c r="AL59" s="15">
        <f t="shared" si="11"/>
        <v>2043</v>
      </c>
      <c r="AM59" s="15">
        <f t="shared" si="11"/>
        <v>2044</v>
      </c>
    </row>
    <row r="60" spans="2:39" x14ac:dyDescent="0.2">
      <c r="B60" s="10" t="s">
        <v>33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spans="2:39" x14ac:dyDescent="0.2">
      <c r="B61" s="11"/>
      <c r="C61" s="51" t="s">
        <v>14</v>
      </c>
      <c r="D61" s="53">
        <f>D62*D63</f>
        <v>487500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spans="2:39" x14ac:dyDescent="0.2">
      <c r="B62" s="11"/>
      <c r="C62" s="51" t="s">
        <v>34</v>
      </c>
      <c r="D62" s="16">
        <v>65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spans="2:39" x14ac:dyDescent="0.2">
      <c r="B63" s="11"/>
      <c r="C63" s="51" t="s">
        <v>16</v>
      </c>
      <c r="D63" s="17">
        <v>7500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spans="2:39" x14ac:dyDescent="0.2">
      <c r="B64" s="11"/>
      <c r="C64" s="51" t="s">
        <v>17</v>
      </c>
      <c r="D64" s="48" t="s">
        <v>35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spans="2:39" x14ac:dyDescent="0.2">
      <c r="B65" s="11"/>
      <c r="C65" s="51" t="s">
        <v>36</v>
      </c>
      <c r="D65" s="18">
        <v>42005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spans="2:39" x14ac:dyDescent="0.2">
      <c r="B66" s="11"/>
      <c r="C66" s="51" t="s">
        <v>37</v>
      </c>
      <c r="D66" s="18">
        <v>42370</v>
      </c>
      <c r="E66" s="11"/>
      <c r="F66" s="48" t="s">
        <v>21</v>
      </c>
      <c r="G66" s="51"/>
      <c r="H66" s="51"/>
      <c r="I66" s="11"/>
      <c r="J66" s="20">
        <f t="shared" ref="J66:AC66" si="12">(MIN(MAX($D66,DATE(J$47,1,1)),DATE(J$47+1,1,1))-MIN(MAX($D65,DATE(J$47,1,1)),DATE(J$47+1,1,1)))</f>
        <v>365</v>
      </c>
      <c r="K66" s="20">
        <f t="shared" si="12"/>
        <v>0</v>
      </c>
      <c r="L66" s="20">
        <f t="shared" si="12"/>
        <v>0</v>
      </c>
      <c r="M66" s="20">
        <f t="shared" si="12"/>
        <v>0</v>
      </c>
      <c r="N66" s="20">
        <f t="shared" si="12"/>
        <v>0</v>
      </c>
      <c r="O66" s="20">
        <f t="shared" si="12"/>
        <v>0</v>
      </c>
      <c r="P66" s="20">
        <f t="shared" si="12"/>
        <v>0</v>
      </c>
      <c r="Q66" s="20">
        <f t="shared" si="12"/>
        <v>0</v>
      </c>
      <c r="R66" s="20">
        <f t="shared" si="12"/>
        <v>0</v>
      </c>
      <c r="S66" s="20">
        <f t="shared" si="12"/>
        <v>0</v>
      </c>
      <c r="T66" s="20">
        <f t="shared" si="12"/>
        <v>0</v>
      </c>
      <c r="U66" s="20">
        <f t="shared" si="12"/>
        <v>0</v>
      </c>
      <c r="V66" s="20">
        <f t="shared" si="12"/>
        <v>0</v>
      </c>
      <c r="W66" s="20">
        <f t="shared" si="12"/>
        <v>0</v>
      </c>
      <c r="X66" s="20">
        <f t="shared" si="12"/>
        <v>0</v>
      </c>
      <c r="Y66" s="20">
        <f t="shared" si="12"/>
        <v>0</v>
      </c>
      <c r="Z66" s="20">
        <f t="shared" si="12"/>
        <v>0</v>
      </c>
      <c r="AA66" s="20">
        <f t="shared" si="12"/>
        <v>0</v>
      </c>
      <c r="AB66" s="20">
        <f t="shared" si="12"/>
        <v>0</v>
      </c>
      <c r="AC66" s="20">
        <f t="shared" si="12"/>
        <v>0</v>
      </c>
      <c r="AD66" s="20">
        <f t="shared" ref="AD66:AM66" si="13">(MIN(MAX($D66,DATE(AD$47,1,1)),DATE(AD$47+1,1,1))-MIN(MAX($D65,DATE(AD$47,1,1)),DATE(AD$47+1,1,1)))</f>
        <v>0</v>
      </c>
      <c r="AE66" s="20">
        <f t="shared" si="13"/>
        <v>0</v>
      </c>
      <c r="AF66" s="20">
        <f t="shared" si="13"/>
        <v>0</v>
      </c>
      <c r="AG66" s="20">
        <f t="shared" si="13"/>
        <v>0</v>
      </c>
      <c r="AH66" s="20">
        <f t="shared" si="13"/>
        <v>0</v>
      </c>
      <c r="AI66" s="20">
        <f t="shared" si="13"/>
        <v>0</v>
      </c>
      <c r="AJ66" s="20">
        <f t="shared" si="13"/>
        <v>0</v>
      </c>
      <c r="AK66" s="20">
        <f t="shared" si="13"/>
        <v>0</v>
      </c>
      <c r="AL66" s="20">
        <f t="shared" si="13"/>
        <v>0</v>
      </c>
      <c r="AM66" s="20">
        <f t="shared" si="13"/>
        <v>0</v>
      </c>
    </row>
    <row r="67" spans="2:39" x14ac:dyDescent="0.2">
      <c r="B67" s="11"/>
      <c r="C67" s="51" t="s">
        <v>22</v>
      </c>
      <c r="D67" s="54">
        <f>D66-D65</f>
        <v>365</v>
      </c>
      <c r="E67" s="11"/>
      <c r="F67" s="48" t="s">
        <v>23</v>
      </c>
      <c r="G67" s="51" t="s">
        <v>38</v>
      </c>
      <c r="H67" s="51" t="str">
        <f ca="1">IFERROR(INDEX(CES_Short,MATCH(Parameters!G67,CES_Pick,0)),"")</f>
        <v>Subballast</v>
      </c>
      <c r="I67" s="11"/>
      <c r="J67" s="53">
        <f t="shared" ref="J67:AC67" si="14">$D61*J66/SUM($J66:$AC66)</f>
        <v>487500</v>
      </c>
      <c r="K67" s="53">
        <f t="shared" si="14"/>
        <v>0</v>
      </c>
      <c r="L67" s="53">
        <f t="shared" si="14"/>
        <v>0</v>
      </c>
      <c r="M67" s="53">
        <f t="shared" si="14"/>
        <v>0</v>
      </c>
      <c r="N67" s="53">
        <f t="shared" si="14"/>
        <v>0</v>
      </c>
      <c r="O67" s="53">
        <f t="shared" si="14"/>
        <v>0</v>
      </c>
      <c r="P67" s="53">
        <f t="shared" si="14"/>
        <v>0</v>
      </c>
      <c r="Q67" s="53">
        <f t="shared" si="14"/>
        <v>0</v>
      </c>
      <c r="R67" s="53">
        <f t="shared" si="14"/>
        <v>0</v>
      </c>
      <c r="S67" s="53">
        <f t="shared" si="14"/>
        <v>0</v>
      </c>
      <c r="T67" s="53">
        <f t="shared" si="14"/>
        <v>0</v>
      </c>
      <c r="U67" s="53">
        <f t="shared" si="14"/>
        <v>0</v>
      </c>
      <c r="V67" s="53">
        <f t="shared" si="14"/>
        <v>0</v>
      </c>
      <c r="W67" s="53">
        <f t="shared" si="14"/>
        <v>0</v>
      </c>
      <c r="X67" s="53">
        <f t="shared" si="14"/>
        <v>0</v>
      </c>
      <c r="Y67" s="53">
        <f t="shared" si="14"/>
        <v>0</v>
      </c>
      <c r="Z67" s="53">
        <f t="shared" si="14"/>
        <v>0</v>
      </c>
      <c r="AA67" s="53">
        <f t="shared" si="14"/>
        <v>0</v>
      </c>
      <c r="AB67" s="53">
        <f t="shared" si="14"/>
        <v>0</v>
      </c>
      <c r="AC67" s="53">
        <f t="shared" si="14"/>
        <v>0</v>
      </c>
      <c r="AD67" s="53">
        <f t="shared" ref="AD67:AM67" si="15">$D61*AD66/SUM($J66:$AC66)</f>
        <v>0</v>
      </c>
      <c r="AE67" s="53">
        <f t="shared" si="15"/>
        <v>0</v>
      </c>
      <c r="AF67" s="53">
        <f t="shared" si="15"/>
        <v>0</v>
      </c>
      <c r="AG67" s="53">
        <f t="shared" si="15"/>
        <v>0</v>
      </c>
      <c r="AH67" s="53">
        <f t="shared" si="15"/>
        <v>0</v>
      </c>
      <c r="AI67" s="53">
        <f t="shared" si="15"/>
        <v>0</v>
      </c>
      <c r="AJ67" s="53">
        <f t="shared" si="15"/>
        <v>0</v>
      </c>
      <c r="AK67" s="53">
        <f t="shared" si="15"/>
        <v>0</v>
      </c>
      <c r="AL67" s="53">
        <f t="shared" si="15"/>
        <v>0</v>
      </c>
      <c r="AM67" s="53">
        <f t="shared" si="15"/>
        <v>0</v>
      </c>
    </row>
    <row r="68" spans="2:39" x14ac:dyDescent="0.2">
      <c r="B68" s="11"/>
      <c r="C68" s="55" t="s">
        <v>25</v>
      </c>
      <c r="D68" s="19">
        <v>0.1</v>
      </c>
      <c r="E68" s="11"/>
      <c r="F68" s="56" t="s">
        <v>26</v>
      </c>
      <c r="G68" s="51" t="s">
        <v>27</v>
      </c>
      <c r="H68" s="51" t="str">
        <f ca="1">IFERROR(INDEX(CES_Short,MATCH(Parameters!G68,CES_Pick,0)),"")</f>
        <v>Mobilization</v>
      </c>
      <c r="I68" s="11"/>
      <c r="J68" s="57">
        <f t="shared" ref="J68:AC68" si="16">J67*$D68</f>
        <v>48750</v>
      </c>
      <c r="K68" s="57">
        <f t="shared" si="16"/>
        <v>0</v>
      </c>
      <c r="L68" s="57">
        <f t="shared" si="16"/>
        <v>0</v>
      </c>
      <c r="M68" s="57">
        <f t="shared" si="16"/>
        <v>0</v>
      </c>
      <c r="N68" s="57">
        <f t="shared" si="16"/>
        <v>0</v>
      </c>
      <c r="O68" s="57">
        <f t="shared" si="16"/>
        <v>0</v>
      </c>
      <c r="P68" s="57">
        <f t="shared" si="16"/>
        <v>0</v>
      </c>
      <c r="Q68" s="57">
        <f t="shared" si="16"/>
        <v>0</v>
      </c>
      <c r="R68" s="57">
        <f t="shared" si="16"/>
        <v>0</v>
      </c>
      <c r="S68" s="57">
        <f t="shared" si="16"/>
        <v>0</v>
      </c>
      <c r="T68" s="57">
        <f t="shared" si="16"/>
        <v>0</v>
      </c>
      <c r="U68" s="57">
        <f t="shared" si="16"/>
        <v>0</v>
      </c>
      <c r="V68" s="57">
        <f t="shared" si="16"/>
        <v>0</v>
      </c>
      <c r="W68" s="57">
        <f t="shared" si="16"/>
        <v>0</v>
      </c>
      <c r="X68" s="57">
        <f t="shared" si="16"/>
        <v>0</v>
      </c>
      <c r="Y68" s="57">
        <f t="shared" si="16"/>
        <v>0</v>
      </c>
      <c r="Z68" s="57">
        <f t="shared" si="16"/>
        <v>0</v>
      </c>
      <c r="AA68" s="57">
        <f t="shared" si="16"/>
        <v>0</v>
      </c>
      <c r="AB68" s="57">
        <f t="shared" si="16"/>
        <v>0</v>
      </c>
      <c r="AC68" s="57">
        <f t="shared" si="16"/>
        <v>0</v>
      </c>
      <c r="AD68" s="57">
        <f t="shared" ref="AD68:AM68" si="17">AD67*$D68</f>
        <v>0</v>
      </c>
      <c r="AE68" s="57">
        <f t="shared" si="17"/>
        <v>0</v>
      </c>
      <c r="AF68" s="57">
        <f t="shared" si="17"/>
        <v>0</v>
      </c>
      <c r="AG68" s="57">
        <f t="shared" si="17"/>
        <v>0</v>
      </c>
      <c r="AH68" s="57">
        <f t="shared" si="17"/>
        <v>0</v>
      </c>
      <c r="AI68" s="57">
        <f t="shared" si="17"/>
        <v>0</v>
      </c>
      <c r="AJ68" s="57">
        <f t="shared" si="17"/>
        <v>0</v>
      </c>
      <c r="AK68" s="57">
        <f t="shared" si="17"/>
        <v>0</v>
      </c>
      <c r="AL68" s="57">
        <f t="shared" si="17"/>
        <v>0</v>
      </c>
      <c r="AM68" s="57">
        <f t="shared" si="17"/>
        <v>0</v>
      </c>
    </row>
    <row r="69" spans="2:39" x14ac:dyDescent="0.2">
      <c r="B69" s="11"/>
      <c r="C69" s="55" t="s">
        <v>28</v>
      </c>
      <c r="D69" s="19">
        <v>0.35</v>
      </c>
      <c r="E69" s="11"/>
      <c r="F69" s="56" t="s">
        <v>29</v>
      </c>
      <c r="G69" s="51" t="s">
        <v>30</v>
      </c>
      <c r="H69" s="51" t="str">
        <f ca="1">IFERROR(INDEX(CES_Short,MATCH(Parameters!G69,CES_Pick,0)),"")</f>
        <v>Contingency</v>
      </c>
      <c r="I69" s="11"/>
      <c r="J69" s="57">
        <f t="shared" ref="J69:AC69" si="18">(J67+J68)*$D69</f>
        <v>187687.5</v>
      </c>
      <c r="K69" s="57">
        <f t="shared" si="18"/>
        <v>0</v>
      </c>
      <c r="L69" s="57">
        <f t="shared" si="18"/>
        <v>0</v>
      </c>
      <c r="M69" s="57">
        <f t="shared" si="18"/>
        <v>0</v>
      </c>
      <c r="N69" s="57">
        <f t="shared" si="18"/>
        <v>0</v>
      </c>
      <c r="O69" s="57">
        <f t="shared" si="18"/>
        <v>0</v>
      </c>
      <c r="P69" s="57">
        <f t="shared" si="18"/>
        <v>0</v>
      </c>
      <c r="Q69" s="57">
        <f t="shared" si="18"/>
        <v>0</v>
      </c>
      <c r="R69" s="57">
        <f t="shared" si="18"/>
        <v>0</v>
      </c>
      <c r="S69" s="57">
        <f t="shared" si="18"/>
        <v>0</v>
      </c>
      <c r="T69" s="57">
        <f t="shared" si="18"/>
        <v>0</v>
      </c>
      <c r="U69" s="57">
        <f t="shared" si="18"/>
        <v>0</v>
      </c>
      <c r="V69" s="57">
        <f t="shared" si="18"/>
        <v>0</v>
      </c>
      <c r="W69" s="57">
        <f t="shared" si="18"/>
        <v>0</v>
      </c>
      <c r="X69" s="57">
        <f t="shared" si="18"/>
        <v>0</v>
      </c>
      <c r="Y69" s="57">
        <f t="shared" si="18"/>
        <v>0</v>
      </c>
      <c r="Z69" s="57">
        <f t="shared" si="18"/>
        <v>0</v>
      </c>
      <c r="AA69" s="57">
        <f t="shared" si="18"/>
        <v>0</v>
      </c>
      <c r="AB69" s="57">
        <f t="shared" si="18"/>
        <v>0</v>
      </c>
      <c r="AC69" s="57">
        <f t="shared" si="18"/>
        <v>0</v>
      </c>
      <c r="AD69" s="57">
        <f t="shared" ref="AD69:AM69" si="19">(AD67+AD68)*$D69</f>
        <v>0</v>
      </c>
      <c r="AE69" s="57">
        <f t="shared" si="19"/>
        <v>0</v>
      </c>
      <c r="AF69" s="57">
        <f t="shared" si="19"/>
        <v>0</v>
      </c>
      <c r="AG69" s="57">
        <f t="shared" si="19"/>
        <v>0</v>
      </c>
      <c r="AH69" s="57">
        <f t="shared" si="19"/>
        <v>0</v>
      </c>
      <c r="AI69" s="57">
        <f t="shared" si="19"/>
        <v>0</v>
      </c>
      <c r="AJ69" s="57">
        <f t="shared" si="19"/>
        <v>0</v>
      </c>
      <c r="AK69" s="57">
        <f t="shared" si="19"/>
        <v>0</v>
      </c>
      <c r="AL69" s="57">
        <f t="shared" si="19"/>
        <v>0</v>
      </c>
      <c r="AM69" s="57">
        <f t="shared" si="19"/>
        <v>0</v>
      </c>
    </row>
    <row r="70" spans="2:39" ht="63.75" x14ac:dyDescent="0.2">
      <c r="B70" s="11"/>
      <c r="C70" s="51" t="s">
        <v>31</v>
      </c>
      <c r="D70" s="58" t="s">
        <v>32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spans="2:39" x14ac:dyDescent="0.2">
      <c r="B71" s="11"/>
      <c r="C71" s="11"/>
      <c r="D71" s="11"/>
      <c r="E71" s="11"/>
      <c r="F71" s="15" t="s">
        <v>139</v>
      </c>
      <c r="G71" s="15" t="s">
        <v>11</v>
      </c>
      <c r="H71" s="15" t="s">
        <v>12</v>
      </c>
      <c r="I71" s="11"/>
      <c r="J71" s="15">
        <f>Start_Year</f>
        <v>2015</v>
      </c>
      <c r="K71" s="15">
        <f t="shared" ref="K71:AM71" si="20">J71+1</f>
        <v>2016</v>
      </c>
      <c r="L71" s="15">
        <f t="shared" si="20"/>
        <v>2017</v>
      </c>
      <c r="M71" s="15">
        <f t="shared" si="20"/>
        <v>2018</v>
      </c>
      <c r="N71" s="15">
        <f t="shared" si="20"/>
        <v>2019</v>
      </c>
      <c r="O71" s="15">
        <f t="shared" si="20"/>
        <v>2020</v>
      </c>
      <c r="P71" s="15">
        <f t="shared" si="20"/>
        <v>2021</v>
      </c>
      <c r="Q71" s="15">
        <f t="shared" si="20"/>
        <v>2022</v>
      </c>
      <c r="R71" s="15">
        <f t="shared" si="20"/>
        <v>2023</v>
      </c>
      <c r="S71" s="15">
        <f t="shared" si="20"/>
        <v>2024</v>
      </c>
      <c r="T71" s="15">
        <f t="shared" si="20"/>
        <v>2025</v>
      </c>
      <c r="U71" s="15">
        <f t="shared" si="20"/>
        <v>2026</v>
      </c>
      <c r="V71" s="15">
        <f t="shared" si="20"/>
        <v>2027</v>
      </c>
      <c r="W71" s="15">
        <f t="shared" si="20"/>
        <v>2028</v>
      </c>
      <c r="X71" s="15">
        <f t="shared" si="20"/>
        <v>2029</v>
      </c>
      <c r="Y71" s="15">
        <f t="shared" si="20"/>
        <v>2030</v>
      </c>
      <c r="Z71" s="15">
        <f t="shared" si="20"/>
        <v>2031</v>
      </c>
      <c r="AA71" s="15">
        <f t="shared" si="20"/>
        <v>2032</v>
      </c>
      <c r="AB71" s="15">
        <f t="shared" si="20"/>
        <v>2033</v>
      </c>
      <c r="AC71" s="15">
        <f t="shared" si="20"/>
        <v>2034</v>
      </c>
      <c r="AD71" s="15">
        <f t="shared" si="20"/>
        <v>2035</v>
      </c>
      <c r="AE71" s="15">
        <f t="shared" si="20"/>
        <v>2036</v>
      </c>
      <c r="AF71" s="15">
        <f t="shared" si="20"/>
        <v>2037</v>
      </c>
      <c r="AG71" s="15">
        <f t="shared" si="20"/>
        <v>2038</v>
      </c>
      <c r="AH71" s="15">
        <f t="shared" si="20"/>
        <v>2039</v>
      </c>
      <c r="AI71" s="15">
        <f t="shared" si="20"/>
        <v>2040</v>
      </c>
      <c r="AJ71" s="15">
        <f t="shared" si="20"/>
        <v>2041</v>
      </c>
      <c r="AK71" s="15">
        <f t="shared" si="20"/>
        <v>2042</v>
      </c>
      <c r="AL71" s="15">
        <f t="shared" si="20"/>
        <v>2043</v>
      </c>
      <c r="AM71" s="15">
        <f t="shared" si="20"/>
        <v>2044</v>
      </c>
    </row>
    <row r="72" spans="2:39" x14ac:dyDescent="0.2">
      <c r="B72" s="10" t="s">
        <v>39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spans="2:39" x14ac:dyDescent="0.2">
      <c r="B73" s="11"/>
      <c r="C73" s="51" t="s">
        <v>14</v>
      </c>
      <c r="D73" s="53">
        <f>D74*D75</f>
        <v>189928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spans="2:39" x14ac:dyDescent="0.2">
      <c r="B74" s="11"/>
      <c r="C74" s="51" t="s">
        <v>34</v>
      </c>
      <c r="D74" s="16">
        <v>8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spans="2:39" x14ac:dyDescent="0.2">
      <c r="B75" s="11"/>
      <c r="C75" s="51" t="s">
        <v>16</v>
      </c>
      <c r="D75" s="17">
        <v>23741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spans="2:39" x14ac:dyDescent="0.2">
      <c r="B76" s="11"/>
      <c r="C76" s="51" t="s">
        <v>17</v>
      </c>
      <c r="D76" s="48" t="s">
        <v>40</v>
      </c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spans="2:39" x14ac:dyDescent="0.2">
      <c r="B77" s="11"/>
      <c r="C77" s="51" t="s">
        <v>36</v>
      </c>
      <c r="D77" s="18">
        <v>42005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spans="2:39" x14ac:dyDescent="0.2">
      <c r="B78" s="11"/>
      <c r="C78" s="51" t="s">
        <v>37</v>
      </c>
      <c r="D78" s="18">
        <v>42370</v>
      </c>
      <c r="E78" s="11"/>
      <c r="F78" s="48" t="s">
        <v>21</v>
      </c>
      <c r="G78" s="51"/>
      <c r="H78" s="51"/>
      <c r="I78" s="11"/>
      <c r="J78" s="20">
        <f t="shared" ref="J78:AC78" si="21">(MIN(MAX($D78,DATE(J$47,1,1)),DATE(J$47+1,1,1))-MIN(MAX($D77,DATE(J$47,1,1)),DATE(J$47+1,1,1)))</f>
        <v>365</v>
      </c>
      <c r="K78" s="20">
        <f t="shared" si="21"/>
        <v>0</v>
      </c>
      <c r="L78" s="20">
        <f t="shared" si="21"/>
        <v>0</v>
      </c>
      <c r="M78" s="20">
        <f t="shared" si="21"/>
        <v>0</v>
      </c>
      <c r="N78" s="20">
        <f t="shared" si="21"/>
        <v>0</v>
      </c>
      <c r="O78" s="20">
        <f t="shared" si="21"/>
        <v>0</v>
      </c>
      <c r="P78" s="20">
        <f t="shared" si="21"/>
        <v>0</v>
      </c>
      <c r="Q78" s="20">
        <f t="shared" si="21"/>
        <v>0</v>
      </c>
      <c r="R78" s="20">
        <f t="shared" si="21"/>
        <v>0</v>
      </c>
      <c r="S78" s="20">
        <f t="shared" si="21"/>
        <v>0</v>
      </c>
      <c r="T78" s="20">
        <f t="shared" si="21"/>
        <v>0</v>
      </c>
      <c r="U78" s="20">
        <f t="shared" si="21"/>
        <v>0</v>
      </c>
      <c r="V78" s="20">
        <f t="shared" si="21"/>
        <v>0</v>
      </c>
      <c r="W78" s="20">
        <f t="shared" si="21"/>
        <v>0</v>
      </c>
      <c r="X78" s="20">
        <f t="shared" si="21"/>
        <v>0</v>
      </c>
      <c r="Y78" s="20">
        <f t="shared" si="21"/>
        <v>0</v>
      </c>
      <c r="Z78" s="20">
        <f t="shared" si="21"/>
        <v>0</v>
      </c>
      <c r="AA78" s="20">
        <f t="shared" si="21"/>
        <v>0</v>
      </c>
      <c r="AB78" s="20">
        <f t="shared" si="21"/>
        <v>0</v>
      </c>
      <c r="AC78" s="20">
        <f t="shared" si="21"/>
        <v>0</v>
      </c>
      <c r="AD78" s="20">
        <f t="shared" ref="AD78:AM78" si="22">(MIN(MAX($D78,DATE(AD$47,1,1)),DATE(AD$47+1,1,1))-MIN(MAX($D77,DATE(AD$47,1,1)),DATE(AD$47+1,1,1)))</f>
        <v>0</v>
      </c>
      <c r="AE78" s="20">
        <f t="shared" si="22"/>
        <v>0</v>
      </c>
      <c r="AF78" s="20">
        <f t="shared" si="22"/>
        <v>0</v>
      </c>
      <c r="AG78" s="20">
        <f t="shared" si="22"/>
        <v>0</v>
      </c>
      <c r="AH78" s="20">
        <f t="shared" si="22"/>
        <v>0</v>
      </c>
      <c r="AI78" s="20">
        <f t="shared" si="22"/>
        <v>0</v>
      </c>
      <c r="AJ78" s="20">
        <f t="shared" si="22"/>
        <v>0</v>
      </c>
      <c r="AK78" s="20">
        <f t="shared" si="22"/>
        <v>0</v>
      </c>
      <c r="AL78" s="20">
        <f t="shared" si="22"/>
        <v>0</v>
      </c>
      <c r="AM78" s="20">
        <f t="shared" si="22"/>
        <v>0</v>
      </c>
    </row>
    <row r="79" spans="2:39" x14ac:dyDescent="0.2">
      <c r="B79" s="11"/>
      <c r="C79" s="51" t="s">
        <v>22</v>
      </c>
      <c r="D79" s="54">
        <f>D78-D77</f>
        <v>365</v>
      </c>
      <c r="E79" s="11"/>
      <c r="F79" s="48" t="s">
        <v>23</v>
      </c>
      <c r="G79" s="51" t="s">
        <v>41</v>
      </c>
      <c r="H79" s="51" t="str">
        <f ca="1">IFERROR(INDEX(CES_Short,MATCH(Parameters!G79,CES_Pick,0)),"")</f>
        <v>Lime</v>
      </c>
      <c r="I79" s="11"/>
      <c r="J79" s="53">
        <f t="shared" ref="J79:AC79" si="23">$D73*J78/SUM($J78:$AC78)</f>
        <v>189928</v>
      </c>
      <c r="K79" s="53">
        <f t="shared" si="23"/>
        <v>0</v>
      </c>
      <c r="L79" s="53">
        <f t="shared" si="23"/>
        <v>0</v>
      </c>
      <c r="M79" s="53">
        <f t="shared" si="23"/>
        <v>0</v>
      </c>
      <c r="N79" s="53">
        <f t="shared" si="23"/>
        <v>0</v>
      </c>
      <c r="O79" s="53">
        <f t="shared" si="23"/>
        <v>0</v>
      </c>
      <c r="P79" s="53">
        <f t="shared" si="23"/>
        <v>0</v>
      </c>
      <c r="Q79" s="53">
        <f t="shared" si="23"/>
        <v>0</v>
      </c>
      <c r="R79" s="53">
        <f t="shared" si="23"/>
        <v>0</v>
      </c>
      <c r="S79" s="53">
        <f t="shared" si="23"/>
        <v>0</v>
      </c>
      <c r="T79" s="53">
        <f t="shared" si="23"/>
        <v>0</v>
      </c>
      <c r="U79" s="53">
        <f t="shared" si="23"/>
        <v>0</v>
      </c>
      <c r="V79" s="53">
        <f t="shared" si="23"/>
        <v>0</v>
      </c>
      <c r="W79" s="53">
        <f t="shared" si="23"/>
        <v>0</v>
      </c>
      <c r="X79" s="53">
        <f t="shared" si="23"/>
        <v>0</v>
      </c>
      <c r="Y79" s="53">
        <f t="shared" si="23"/>
        <v>0</v>
      </c>
      <c r="Z79" s="53">
        <f t="shared" si="23"/>
        <v>0</v>
      </c>
      <c r="AA79" s="53">
        <f t="shared" si="23"/>
        <v>0</v>
      </c>
      <c r="AB79" s="53">
        <f t="shared" si="23"/>
        <v>0</v>
      </c>
      <c r="AC79" s="53">
        <f t="shared" si="23"/>
        <v>0</v>
      </c>
      <c r="AD79" s="53">
        <f t="shared" ref="AD79:AM79" si="24">$D73*AD78/SUM($J78:$AC78)</f>
        <v>0</v>
      </c>
      <c r="AE79" s="53">
        <f t="shared" si="24"/>
        <v>0</v>
      </c>
      <c r="AF79" s="53">
        <f t="shared" si="24"/>
        <v>0</v>
      </c>
      <c r="AG79" s="53">
        <f t="shared" si="24"/>
        <v>0</v>
      </c>
      <c r="AH79" s="53">
        <f t="shared" si="24"/>
        <v>0</v>
      </c>
      <c r="AI79" s="53">
        <f t="shared" si="24"/>
        <v>0</v>
      </c>
      <c r="AJ79" s="53">
        <f t="shared" si="24"/>
        <v>0</v>
      </c>
      <c r="AK79" s="53">
        <f t="shared" si="24"/>
        <v>0</v>
      </c>
      <c r="AL79" s="53">
        <f t="shared" si="24"/>
        <v>0</v>
      </c>
      <c r="AM79" s="53">
        <f t="shared" si="24"/>
        <v>0</v>
      </c>
    </row>
    <row r="80" spans="2:39" x14ac:dyDescent="0.2">
      <c r="B80" s="11"/>
      <c r="C80" s="55" t="s">
        <v>25</v>
      </c>
      <c r="D80" s="19">
        <v>0.1</v>
      </c>
      <c r="E80" s="11"/>
      <c r="F80" s="56" t="s">
        <v>26</v>
      </c>
      <c r="G80" s="51" t="s">
        <v>27</v>
      </c>
      <c r="H80" s="51" t="str">
        <f ca="1">IFERROR(INDEX(CES_Short,MATCH(Parameters!G80,CES_Pick,0)),"")</f>
        <v>Mobilization</v>
      </c>
      <c r="I80" s="11"/>
      <c r="J80" s="57">
        <f t="shared" ref="J80:AC80" si="25">J79*$D80</f>
        <v>18992.8</v>
      </c>
      <c r="K80" s="57">
        <f t="shared" si="25"/>
        <v>0</v>
      </c>
      <c r="L80" s="57">
        <f t="shared" si="25"/>
        <v>0</v>
      </c>
      <c r="M80" s="57">
        <f t="shared" si="25"/>
        <v>0</v>
      </c>
      <c r="N80" s="57">
        <f t="shared" si="25"/>
        <v>0</v>
      </c>
      <c r="O80" s="57">
        <f t="shared" si="25"/>
        <v>0</v>
      </c>
      <c r="P80" s="57">
        <f t="shared" si="25"/>
        <v>0</v>
      </c>
      <c r="Q80" s="57">
        <f t="shared" si="25"/>
        <v>0</v>
      </c>
      <c r="R80" s="57">
        <f t="shared" si="25"/>
        <v>0</v>
      </c>
      <c r="S80" s="57">
        <f t="shared" si="25"/>
        <v>0</v>
      </c>
      <c r="T80" s="57">
        <f t="shared" si="25"/>
        <v>0</v>
      </c>
      <c r="U80" s="57">
        <f t="shared" si="25"/>
        <v>0</v>
      </c>
      <c r="V80" s="57">
        <f t="shared" si="25"/>
        <v>0</v>
      </c>
      <c r="W80" s="57">
        <f t="shared" si="25"/>
        <v>0</v>
      </c>
      <c r="X80" s="57">
        <f t="shared" si="25"/>
        <v>0</v>
      </c>
      <c r="Y80" s="57">
        <f t="shared" si="25"/>
        <v>0</v>
      </c>
      <c r="Z80" s="57">
        <f t="shared" si="25"/>
        <v>0</v>
      </c>
      <c r="AA80" s="57">
        <f t="shared" si="25"/>
        <v>0</v>
      </c>
      <c r="AB80" s="57">
        <f t="shared" si="25"/>
        <v>0</v>
      </c>
      <c r="AC80" s="57">
        <f t="shared" si="25"/>
        <v>0</v>
      </c>
      <c r="AD80" s="57">
        <f t="shared" ref="AD80:AM80" si="26">AD79*$D80</f>
        <v>0</v>
      </c>
      <c r="AE80" s="57">
        <f t="shared" si="26"/>
        <v>0</v>
      </c>
      <c r="AF80" s="57">
        <f t="shared" si="26"/>
        <v>0</v>
      </c>
      <c r="AG80" s="57">
        <f t="shared" si="26"/>
        <v>0</v>
      </c>
      <c r="AH80" s="57">
        <f t="shared" si="26"/>
        <v>0</v>
      </c>
      <c r="AI80" s="57">
        <f t="shared" si="26"/>
        <v>0</v>
      </c>
      <c r="AJ80" s="57">
        <f t="shared" si="26"/>
        <v>0</v>
      </c>
      <c r="AK80" s="57">
        <f t="shared" si="26"/>
        <v>0</v>
      </c>
      <c r="AL80" s="57">
        <f t="shared" si="26"/>
        <v>0</v>
      </c>
      <c r="AM80" s="57">
        <f t="shared" si="26"/>
        <v>0</v>
      </c>
    </row>
    <row r="81" spans="2:39" x14ac:dyDescent="0.2">
      <c r="B81" s="11"/>
      <c r="C81" s="55" t="s">
        <v>28</v>
      </c>
      <c r="D81" s="19">
        <v>0.35</v>
      </c>
      <c r="E81" s="11"/>
      <c r="F81" s="56" t="s">
        <v>29</v>
      </c>
      <c r="G81" s="51" t="s">
        <v>30</v>
      </c>
      <c r="H81" s="51" t="str">
        <f ca="1">IFERROR(INDEX(CES_Short,MATCH(Parameters!G81,CES_Pick,0)),"")</f>
        <v>Contingency</v>
      </c>
      <c r="I81" s="11"/>
      <c r="J81" s="57">
        <f t="shared" ref="J81:AC81" si="27">(J79+J80)*$D81</f>
        <v>73122.279999999984</v>
      </c>
      <c r="K81" s="57">
        <f t="shared" si="27"/>
        <v>0</v>
      </c>
      <c r="L81" s="57">
        <f t="shared" si="27"/>
        <v>0</v>
      </c>
      <c r="M81" s="57">
        <f t="shared" si="27"/>
        <v>0</v>
      </c>
      <c r="N81" s="57">
        <f t="shared" si="27"/>
        <v>0</v>
      </c>
      <c r="O81" s="57">
        <f t="shared" si="27"/>
        <v>0</v>
      </c>
      <c r="P81" s="57">
        <f t="shared" si="27"/>
        <v>0</v>
      </c>
      <c r="Q81" s="57">
        <f t="shared" si="27"/>
        <v>0</v>
      </c>
      <c r="R81" s="57">
        <f t="shared" si="27"/>
        <v>0</v>
      </c>
      <c r="S81" s="57">
        <f t="shared" si="27"/>
        <v>0</v>
      </c>
      <c r="T81" s="57">
        <f t="shared" si="27"/>
        <v>0</v>
      </c>
      <c r="U81" s="57">
        <f t="shared" si="27"/>
        <v>0</v>
      </c>
      <c r="V81" s="57">
        <f t="shared" si="27"/>
        <v>0</v>
      </c>
      <c r="W81" s="57">
        <f t="shared" si="27"/>
        <v>0</v>
      </c>
      <c r="X81" s="57">
        <f t="shared" si="27"/>
        <v>0</v>
      </c>
      <c r="Y81" s="57">
        <f t="shared" si="27"/>
        <v>0</v>
      </c>
      <c r="Z81" s="57">
        <f t="shared" si="27"/>
        <v>0</v>
      </c>
      <c r="AA81" s="57">
        <f t="shared" si="27"/>
        <v>0</v>
      </c>
      <c r="AB81" s="57">
        <f t="shared" si="27"/>
        <v>0</v>
      </c>
      <c r="AC81" s="57">
        <f t="shared" si="27"/>
        <v>0</v>
      </c>
      <c r="AD81" s="57">
        <f t="shared" ref="AD81:AM81" si="28">(AD79+AD80)*$D81</f>
        <v>0</v>
      </c>
      <c r="AE81" s="57">
        <f t="shared" si="28"/>
        <v>0</v>
      </c>
      <c r="AF81" s="57">
        <f t="shared" si="28"/>
        <v>0</v>
      </c>
      <c r="AG81" s="57">
        <f t="shared" si="28"/>
        <v>0</v>
      </c>
      <c r="AH81" s="57">
        <f t="shared" si="28"/>
        <v>0</v>
      </c>
      <c r="AI81" s="57">
        <f t="shared" si="28"/>
        <v>0</v>
      </c>
      <c r="AJ81" s="57">
        <f t="shared" si="28"/>
        <v>0</v>
      </c>
      <c r="AK81" s="57">
        <f t="shared" si="28"/>
        <v>0</v>
      </c>
      <c r="AL81" s="57">
        <f t="shared" si="28"/>
        <v>0</v>
      </c>
      <c r="AM81" s="57">
        <f t="shared" si="28"/>
        <v>0</v>
      </c>
    </row>
    <row r="82" spans="2:39" ht="63.75" x14ac:dyDescent="0.2">
      <c r="B82" s="11"/>
      <c r="C82" s="51" t="s">
        <v>31</v>
      </c>
      <c r="D82" s="58" t="s">
        <v>32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spans="2:39" x14ac:dyDescent="0.2">
      <c r="B83" s="11"/>
      <c r="C83" s="11"/>
      <c r="D83" s="11"/>
      <c r="E83" s="11"/>
      <c r="F83" s="15" t="s">
        <v>139</v>
      </c>
      <c r="G83" s="15" t="s">
        <v>11</v>
      </c>
      <c r="H83" s="15" t="s">
        <v>12</v>
      </c>
      <c r="I83" s="11"/>
      <c r="J83" s="15">
        <f>Start_Year</f>
        <v>2015</v>
      </c>
      <c r="K83" s="15">
        <f t="shared" ref="K83:AM83" si="29">J83+1</f>
        <v>2016</v>
      </c>
      <c r="L83" s="15">
        <f t="shared" si="29"/>
        <v>2017</v>
      </c>
      <c r="M83" s="15">
        <f t="shared" si="29"/>
        <v>2018</v>
      </c>
      <c r="N83" s="15">
        <f t="shared" si="29"/>
        <v>2019</v>
      </c>
      <c r="O83" s="15">
        <f t="shared" si="29"/>
        <v>2020</v>
      </c>
      <c r="P83" s="15">
        <f t="shared" si="29"/>
        <v>2021</v>
      </c>
      <c r="Q83" s="15">
        <f t="shared" si="29"/>
        <v>2022</v>
      </c>
      <c r="R83" s="15">
        <f t="shared" si="29"/>
        <v>2023</v>
      </c>
      <c r="S83" s="15">
        <f t="shared" si="29"/>
        <v>2024</v>
      </c>
      <c r="T83" s="15">
        <f t="shared" si="29"/>
        <v>2025</v>
      </c>
      <c r="U83" s="15">
        <f t="shared" si="29"/>
        <v>2026</v>
      </c>
      <c r="V83" s="15">
        <f t="shared" si="29"/>
        <v>2027</v>
      </c>
      <c r="W83" s="15">
        <f t="shared" si="29"/>
        <v>2028</v>
      </c>
      <c r="X83" s="15">
        <f t="shared" si="29"/>
        <v>2029</v>
      </c>
      <c r="Y83" s="15">
        <f t="shared" si="29"/>
        <v>2030</v>
      </c>
      <c r="Z83" s="15">
        <f t="shared" si="29"/>
        <v>2031</v>
      </c>
      <c r="AA83" s="15">
        <f t="shared" si="29"/>
        <v>2032</v>
      </c>
      <c r="AB83" s="15">
        <f t="shared" si="29"/>
        <v>2033</v>
      </c>
      <c r="AC83" s="15">
        <f t="shared" si="29"/>
        <v>2034</v>
      </c>
      <c r="AD83" s="15">
        <f t="shared" si="29"/>
        <v>2035</v>
      </c>
      <c r="AE83" s="15">
        <f t="shared" si="29"/>
        <v>2036</v>
      </c>
      <c r="AF83" s="15">
        <f t="shared" si="29"/>
        <v>2037</v>
      </c>
      <c r="AG83" s="15">
        <f t="shared" si="29"/>
        <v>2038</v>
      </c>
      <c r="AH83" s="15">
        <f t="shared" si="29"/>
        <v>2039</v>
      </c>
      <c r="AI83" s="15">
        <f t="shared" si="29"/>
        <v>2040</v>
      </c>
      <c r="AJ83" s="15">
        <f t="shared" si="29"/>
        <v>2041</v>
      </c>
      <c r="AK83" s="15">
        <f t="shared" si="29"/>
        <v>2042</v>
      </c>
      <c r="AL83" s="15">
        <f t="shared" si="29"/>
        <v>2043</v>
      </c>
      <c r="AM83" s="15">
        <f t="shared" si="29"/>
        <v>2044</v>
      </c>
    </row>
    <row r="84" spans="2:39" x14ac:dyDescent="0.2">
      <c r="B84" s="10" t="s">
        <v>42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spans="2:39" x14ac:dyDescent="0.2">
      <c r="B85" s="11"/>
      <c r="C85" s="51" t="s">
        <v>14</v>
      </c>
      <c r="D85" s="53">
        <f>D86*D87</f>
        <v>694475.99999679998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spans="2:39" x14ac:dyDescent="0.2">
      <c r="B86" s="11"/>
      <c r="C86" s="51" t="s">
        <v>34</v>
      </c>
      <c r="D86" s="16">
        <v>200.02188939999999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spans="2:39" x14ac:dyDescent="0.2">
      <c r="B87" s="11"/>
      <c r="C87" s="51" t="s">
        <v>16</v>
      </c>
      <c r="D87" s="17">
        <v>3472</v>
      </c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spans="2:39" x14ac:dyDescent="0.2">
      <c r="B88" s="11"/>
      <c r="C88" s="51" t="s">
        <v>17</v>
      </c>
      <c r="D88" s="48" t="s">
        <v>18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spans="2:39" x14ac:dyDescent="0.2">
      <c r="B89" s="11"/>
      <c r="C89" s="51" t="s">
        <v>36</v>
      </c>
      <c r="D89" s="18">
        <v>42005</v>
      </c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spans="2:39" x14ac:dyDescent="0.2">
      <c r="B90" s="11"/>
      <c r="C90" s="51" t="s">
        <v>37</v>
      </c>
      <c r="D90" s="18">
        <v>42370</v>
      </c>
      <c r="E90" s="11"/>
      <c r="F90" s="48" t="s">
        <v>21</v>
      </c>
      <c r="G90" s="51"/>
      <c r="H90" s="51"/>
      <c r="I90" s="11"/>
      <c r="J90" s="20">
        <f t="shared" ref="J90:AC90" si="30">(MIN(MAX($D90,DATE(J$47,1,1)),DATE(J$47+1,1,1))-MIN(MAX($D89,DATE(J$47,1,1)),DATE(J$47+1,1,1)))</f>
        <v>365</v>
      </c>
      <c r="K90" s="20">
        <f t="shared" si="30"/>
        <v>0</v>
      </c>
      <c r="L90" s="20">
        <f t="shared" si="30"/>
        <v>0</v>
      </c>
      <c r="M90" s="20">
        <f t="shared" si="30"/>
        <v>0</v>
      </c>
      <c r="N90" s="20">
        <f t="shared" si="30"/>
        <v>0</v>
      </c>
      <c r="O90" s="20">
        <f t="shared" si="30"/>
        <v>0</v>
      </c>
      <c r="P90" s="20">
        <f t="shared" si="30"/>
        <v>0</v>
      </c>
      <c r="Q90" s="20">
        <f t="shared" si="30"/>
        <v>0</v>
      </c>
      <c r="R90" s="20">
        <f t="shared" si="30"/>
        <v>0</v>
      </c>
      <c r="S90" s="20">
        <f t="shared" si="30"/>
        <v>0</v>
      </c>
      <c r="T90" s="20">
        <f t="shared" si="30"/>
        <v>0</v>
      </c>
      <c r="U90" s="20">
        <f t="shared" si="30"/>
        <v>0</v>
      </c>
      <c r="V90" s="20">
        <f t="shared" si="30"/>
        <v>0</v>
      </c>
      <c r="W90" s="20">
        <f t="shared" si="30"/>
        <v>0</v>
      </c>
      <c r="X90" s="20">
        <f t="shared" si="30"/>
        <v>0</v>
      </c>
      <c r="Y90" s="20">
        <f t="shared" si="30"/>
        <v>0</v>
      </c>
      <c r="Z90" s="20">
        <f t="shared" si="30"/>
        <v>0</v>
      </c>
      <c r="AA90" s="20">
        <f t="shared" si="30"/>
        <v>0</v>
      </c>
      <c r="AB90" s="20">
        <f t="shared" si="30"/>
        <v>0</v>
      </c>
      <c r="AC90" s="20">
        <f t="shared" si="30"/>
        <v>0</v>
      </c>
      <c r="AD90" s="20">
        <f t="shared" ref="AD90:AM90" si="31">(MIN(MAX($D90,DATE(AD$47,1,1)),DATE(AD$47+1,1,1))-MIN(MAX($D89,DATE(AD$47,1,1)),DATE(AD$47+1,1,1)))</f>
        <v>0</v>
      </c>
      <c r="AE90" s="20">
        <f t="shared" si="31"/>
        <v>0</v>
      </c>
      <c r="AF90" s="20">
        <f t="shared" si="31"/>
        <v>0</v>
      </c>
      <c r="AG90" s="20">
        <f t="shared" si="31"/>
        <v>0</v>
      </c>
      <c r="AH90" s="20">
        <f t="shared" si="31"/>
        <v>0</v>
      </c>
      <c r="AI90" s="20">
        <f t="shared" si="31"/>
        <v>0</v>
      </c>
      <c r="AJ90" s="20">
        <f t="shared" si="31"/>
        <v>0</v>
      </c>
      <c r="AK90" s="20">
        <f t="shared" si="31"/>
        <v>0</v>
      </c>
      <c r="AL90" s="20">
        <f t="shared" si="31"/>
        <v>0</v>
      </c>
      <c r="AM90" s="20">
        <f t="shared" si="31"/>
        <v>0</v>
      </c>
    </row>
    <row r="91" spans="2:39" x14ac:dyDescent="0.2">
      <c r="B91" s="11"/>
      <c r="C91" s="51" t="s">
        <v>22</v>
      </c>
      <c r="D91" s="54">
        <f>D90-D89</f>
        <v>365</v>
      </c>
      <c r="E91" s="11"/>
      <c r="F91" s="48" t="s">
        <v>23</v>
      </c>
      <c r="G91" s="51" t="s">
        <v>43</v>
      </c>
      <c r="H91" s="51" t="str">
        <f ca="1">IFERROR(INDEX(CES_Short,MATCH(Parameters!G91,CES_Pick,0)),"")</f>
        <v>Prop Track</v>
      </c>
      <c r="I91" s="11"/>
      <c r="J91" s="53">
        <f t="shared" ref="J91:AC91" si="32">$D85*J90/SUM($J90:$AC90)</f>
        <v>694475.99999679998</v>
      </c>
      <c r="K91" s="53">
        <f t="shared" si="32"/>
        <v>0</v>
      </c>
      <c r="L91" s="53">
        <f t="shared" si="32"/>
        <v>0</v>
      </c>
      <c r="M91" s="53">
        <f t="shared" si="32"/>
        <v>0</v>
      </c>
      <c r="N91" s="53">
        <f t="shared" si="32"/>
        <v>0</v>
      </c>
      <c r="O91" s="53">
        <f t="shared" si="32"/>
        <v>0</v>
      </c>
      <c r="P91" s="53">
        <f t="shared" si="32"/>
        <v>0</v>
      </c>
      <c r="Q91" s="53">
        <f t="shared" si="32"/>
        <v>0</v>
      </c>
      <c r="R91" s="53">
        <f t="shared" si="32"/>
        <v>0</v>
      </c>
      <c r="S91" s="53">
        <f t="shared" si="32"/>
        <v>0</v>
      </c>
      <c r="T91" s="53">
        <f t="shared" si="32"/>
        <v>0</v>
      </c>
      <c r="U91" s="53">
        <f t="shared" si="32"/>
        <v>0</v>
      </c>
      <c r="V91" s="53">
        <f t="shared" si="32"/>
        <v>0</v>
      </c>
      <c r="W91" s="53">
        <f t="shared" si="32"/>
        <v>0</v>
      </c>
      <c r="X91" s="53">
        <f t="shared" si="32"/>
        <v>0</v>
      </c>
      <c r="Y91" s="53">
        <f t="shared" si="32"/>
        <v>0</v>
      </c>
      <c r="Z91" s="53">
        <f t="shared" si="32"/>
        <v>0</v>
      </c>
      <c r="AA91" s="53">
        <f t="shared" si="32"/>
        <v>0</v>
      </c>
      <c r="AB91" s="53">
        <f t="shared" si="32"/>
        <v>0</v>
      </c>
      <c r="AC91" s="53">
        <f t="shared" si="32"/>
        <v>0</v>
      </c>
      <c r="AD91" s="53">
        <f t="shared" ref="AD91:AM91" si="33">$D85*AD90/SUM($J90:$AC90)</f>
        <v>0</v>
      </c>
      <c r="AE91" s="53">
        <f t="shared" si="33"/>
        <v>0</v>
      </c>
      <c r="AF91" s="53">
        <f t="shared" si="33"/>
        <v>0</v>
      </c>
      <c r="AG91" s="53">
        <f t="shared" si="33"/>
        <v>0</v>
      </c>
      <c r="AH91" s="53">
        <f t="shared" si="33"/>
        <v>0</v>
      </c>
      <c r="AI91" s="53">
        <f t="shared" si="33"/>
        <v>0</v>
      </c>
      <c r="AJ91" s="53">
        <f t="shared" si="33"/>
        <v>0</v>
      </c>
      <c r="AK91" s="53">
        <f t="shared" si="33"/>
        <v>0</v>
      </c>
      <c r="AL91" s="53">
        <f t="shared" si="33"/>
        <v>0</v>
      </c>
      <c r="AM91" s="53">
        <f t="shared" si="33"/>
        <v>0</v>
      </c>
    </row>
    <row r="92" spans="2:39" x14ac:dyDescent="0.2">
      <c r="B92" s="11"/>
      <c r="C92" s="55" t="s">
        <v>25</v>
      </c>
      <c r="D92" s="19">
        <v>0.1</v>
      </c>
      <c r="E92" s="11"/>
      <c r="F92" s="56" t="s">
        <v>26</v>
      </c>
      <c r="G92" s="51" t="s">
        <v>27</v>
      </c>
      <c r="H92" s="51" t="str">
        <f ca="1">IFERROR(INDEX(CES_Short,MATCH(Parameters!G92,CES_Pick,0)),"")</f>
        <v>Mobilization</v>
      </c>
      <c r="I92" s="11"/>
      <c r="J92" s="57">
        <f t="shared" ref="J92:AC92" si="34">J91*$D92</f>
        <v>69447.599999679995</v>
      </c>
      <c r="K92" s="57">
        <f t="shared" si="34"/>
        <v>0</v>
      </c>
      <c r="L92" s="57">
        <f t="shared" si="34"/>
        <v>0</v>
      </c>
      <c r="M92" s="57">
        <f t="shared" si="34"/>
        <v>0</v>
      </c>
      <c r="N92" s="57">
        <f t="shared" si="34"/>
        <v>0</v>
      </c>
      <c r="O92" s="57">
        <f t="shared" si="34"/>
        <v>0</v>
      </c>
      <c r="P92" s="57">
        <f t="shared" si="34"/>
        <v>0</v>
      </c>
      <c r="Q92" s="57">
        <f t="shared" si="34"/>
        <v>0</v>
      </c>
      <c r="R92" s="57">
        <f t="shared" si="34"/>
        <v>0</v>
      </c>
      <c r="S92" s="57">
        <f t="shared" si="34"/>
        <v>0</v>
      </c>
      <c r="T92" s="57">
        <f t="shared" si="34"/>
        <v>0</v>
      </c>
      <c r="U92" s="57">
        <f t="shared" si="34"/>
        <v>0</v>
      </c>
      <c r="V92" s="57">
        <f t="shared" si="34"/>
        <v>0</v>
      </c>
      <c r="W92" s="57">
        <f t="shared" si="34"/>
        <v>0</v>
      </c>
      <c r="X92" s="57">
        <f t="shared" si="34"/>
        <v>0</v>
      </c>
      <c r="Y92" s="57">
        <f t="shared" si="34"/>
        <v>0</v>
      </c>
      <c r="Z92" s="57">
        <f t="shared" si="34"/>
        <v>0</v>
      </c>
      <c r="AA92" s="57">
        <f t="shared" si="34"/>
        <v>0</v>
      </c>
      <c r="AB92" s="57">
        <f t="shared" si="34"/>
        <v>0</v>
      </c>
      <c r="AC92" s="57">
        <f t="shared" si="34"/>
        <v>0</v>
      </c>
      <c r="AD92" s="57">
        <f t="shared" ref="AD92:AM92" si="35">AD91*$D92</f>
        <v>0</v>
      </c>
      <c r="AE92" s="57">
        <f t="shared" si="35"/>
        <v>0</v>
      </c>
      <c r="AF92" s="57">
        <f t="shared" si="35"/>
        <v>0</v>
      </c>
      <c r="AG92" s="57">
        <f t="shared" si="35"/>
        <v>0</v>
      </c>
      <c r="AH92" s="57">
        <f t="shared" si="35"/>
        <v>0</v>
      </c>
      <c r="AI92" s="57">
        <f t="shared" si="35"/>
        <v>0</v>
      </c>
      <c r="AJ92" s="57">
        <f t="shared" si="35"/>
        <v>0</v>
      </c>
      <c r="AK92" s="57">
        <f t="shared" si="35"/>
        <v>0</v>
      </c>
      <c r="AL92" s="57">
        <f t="shared" si="35"/>
        <v>0</v>
      </c>
      <c r="AM92" s="57">
        <f t="shared" si="35"/>
        <v>0</v>
      </c>
    </row>
    <row r="93" spans="2:39" x14ac:dyDescent="0.2">
      <c r="B93" s="11"/>
      <c r="C93" s="55" t="s">
        <v>28</v>
      </c>
      <c r="D93" s="19">
        <v>0.35</v>
      </c>
      <c r="E93" s="11"/>
      <c r="F93" s="56" t="s">
        <v>29</v>
      </c>
      <c r="G93" s="51" t="s">
        <v>30</v>
      </c>
      <c r="H93" s="51" t="str">
        <f ca="1">IFERROR(INDEX(CES_Short,MATCH(Parameters!G93,CES_Pick,0)),"")</f>
        <v>Contingency</v>
      </c>
      <c r="I93" s="11"/>
      <c r="J93" s="57">
        <f t="shared" ref="J93:AC93" si="36">(J91+J92)*$D93</f>
        <v>267373.25999876799</v>
      </c>
      <c r="K93" s="57">
        <f t="shared" si="36"/>
        <v>0</v>
      </c>
      <c r="L93" s="57">
        <f t="shared" si="36"/>
        <v>0</v>
      </c>
      <c r="M93" s="57">
        <f t="shared" si="36"/>
        <v>0</v>
      </c>
      <c r="N93" s="57">
        <f t="shared" si="36"/>
        <v>0</v>
      </c>
      <c r="O93" s="57">
        <f t="shared" si="36"/>
        <v>0</v>
      </c>
      <c r="P93" s="57">
        <f t="shared" si="36"/>
        <v>0</v>
      </c>
      <c r="Q93" s="57">
        <f t="shared" si="36"/>
        <v>0</v>
      </c>
      <c r="R93" s="57">
        <f t="shared" si="36"/>
        <v>0</v>
      </c>
      <c r="S93" s="57">
        <f t="shared" si="36"/>
        <v>0</v>
      </c>
      <c r="T93" s="57">
        <f t="shared" si="36"/>
        <v>0</v>
      </c>
      <c r="U93" s="57">
        <f t="shared" si="36"/>
        <v>0</v>
      </c>
      <c r="V93" s="57">
        <f t="shared" si="36"/>
        <v>0</v>
      </c>
      <c r="W93" s="57">
        <f t="shared" si="36"/>
        <v>0</v>
      </c>
      <c r="X93" s="57">
        <f t="shared" si="36"/>
        <v>0</v>
      </c>
      <c r="Y93" s="57">
        <f t="shared" si="36"/>
        <v>0</v>
      </c>
      <c r="Z93" s="57">
        <f t="shared" si="36"/>
        <v>0</v>
      </c>
      <c r="AA93" s="57">
        <f t="shared" si="36"/>
        <v>0</v>
      </c>
      <c r="AB93" s="57">
        <f t="shared" si="36"/>
        <v>0</v>
      </c>
      <c r="AC93" s="57">
        <f t="shared" si="36"/>
        <v>0</v>
      </c>
      <c r="AD93" s="57">
        <f t="shared" ref="AD93:AM93" si="37">(AD91+AD92)*$D93</f>
        <v>0</v>
      </c>
      <c r="AE93" s="57">
        <f t="shared" si="37"/>
        <v>0</v>
      </c>
      <c r="AF93" s="57">
        <f t="shared" si="37"/>
        <v>0</v>
      </c>
      <c r="AG93" s="57">
        <f t="shared" si="37"/>
        <v>0</v>
      </c>
      <c r="AH93" s="57">
        <f t="shared" si="37"/>
        <v>0</v>
      </c>
      <c r="AI93" s="57">
        <f t="shared" si="37"/>
        <v>0</v>
      </c>
      <c r="AJ93" s="57">
        <f t="shared" si="37"/>
        <v>0</v>
      </c>
      <c r="AK93" s="57">
        <f t="shared" si="37"/>
        <v>0</v>
      </c>
      <c r="AL93" s="57">
        <f t="shared" si="37"/>
        <v>0</v>
      </c>
      <c r="AM93" s="57">
        <f t="shared" si="37"/>
        <v>0</v>
      </c>
    </row>
    <row r="94" spans="2:39" ht="63.75" x14ac:dyDescent="0.2">
      <c r="B94" s="11"/>
      <c r="C94" s="51" t="s">
        <v>31</v>
      </c>
      <c r="D94" s="58" t="s">
        <v>32</v>
      </c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spans="2:39" x14ac:dyDescent="0.2">
      <c r="B95" s="11"/>
      <c r="C95" s="11"/>
      <c r="D95" s="11"/>
      <c r="E95" s="11"/>
      <c r="F95" s="15" t="s">
        <v>139</v>
      </c>
      <c r="G95" s="15" t="s">
        <v>11</v>
      </c>
      <c r="H95" s="15" t="s">
        <v>12</v>
      </c>
      <c r="I95" s="11"/>
      <c r="J95" s="15">
        <f>Start_Year</f>
        <v>2015</v>
      </c>
      <c r="K95" s="15">
        <f t="shared" ref="K95:AM95" si="38">J95+1</f>
        <v>2016</v>
      </c>
      <c r="L95" s="15">
        <f t="shared" si="38"/>
        <v>2017</v>
      </c>
      <c r="M95" s="15">
        <f t="shared" si="38"/>
        <v>2018</v>
      </c>
      <c r="N95" s="15">
        <f t="shared" si="38"/>
        <v>2019</v>
      </c>
      <c r="O95" s="15">
        <f t="shared" si="38"/>
        <v>2020</v>
      </c>
      <c r="P95" s="15">
        <f t="shared" si="38"/>
        <v>2021</v>
      </c>
      <c r="Q95" s="15">
        <f t="shared" si="38"/>
        <v>2022</v>
      </c>
      <c r="R95" s="15">
        <f t="shared" si="38"/>
        <v>2023</v>
      </c>
      <c r="S95" s="15">
        <f t="shared" si="38"/>
        <v>2024</v>
      </c>
      <c r="T95" s="15">
        <f t="shared" si="38"/>
        <v>2025</v>
      </c>
      <c r="U95" s="15">
        <f t="shared" si="38"/>
        <v>2026</v>
      </c>
      <c r="V95" s="15">
        <f t="shared" si="38"/>
        <v>2027</v>
      </c>
      <c r="W95" s="15">
        <f t="shared" si="38"/>
        <v>2028</v>
      </c>
      <c r="X95" s="15">
        <f t="shared" si="38"/>
        <v>2029</v>
      </c>
      <c r="Y95" s="15">
        <f t="shared" si="38"/>
        <v>2030</v>
      </c>
      <c r="Z95" s="15">
        <f t="shared" si="38"/>
        <v>2031</v>
      </c>
      <c r="AA95" s="15">
        <f t="shared" si="38"/>
        <v>2032</v>
      </c>
      <c r="AB95" s="15">
        <f t="shared" si="38"/>
        <v>2033</v>
      </c>
      <c r="AC95" s="15">
        <f t="shared" si="38"/>
        <v>2034</v>
      </c>
      <c r="AD95" s="15">
        <f t="shared" si="38"/>
        <v>2035</v>
      </c>
      <c r="AE95" s="15">
        <f t="shared" si="38"/>
        <v>2036</v>
      </c>
      <c r="AF95" s="15">
        <f t="shared" si="38"/>
        <v>2037</v>
      </c>
      <c r="AG95" s="15">
        <f t="shared" si="38"/>
        <v>2038</v>
      </c>
      <c r="AH95" s="15">
        <f t="shared" si="38"/>
        <v>2039</v>
      </c>
      <c r="AI95" s="15">
        <f t="shared" si="38"/>
        <v>2040</v>
      </c>
      <c r="AJ95" s="15">
        <f t="shared" si="38"/>
        <v>2041</v>
      </c>
      <c r="AK95" s="15">
        <f t="shared" si="38"/>
        <v>2042</v>
      </c>
      <c r="AL95" s="15">
        <f t="shared" si="38"/>
        <v>2043</v>
      </c>
      <c r="AM95" s="15">
        <f t="shared" si="38"/>
        <v>2044</v>
      </c>
    </row>
    <row r="96" spans="2:39" x14ac:dyDescent="0.2">
      <c r="B96" s="10" t="s">
        <v>44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spans="2:39" x14ac:dyDescent="0.2">
      <c r="B97" s="11"/>
      <c r="C97" s="51" t="s">
        <v>14</v>
      </c>
      <c r="D97" s="53">
        <f>D98*D99</f>
        <v>513793.83439999999</v>
      </c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spans="2:39" x14ac:dyDescent="0.2">
      <c r="B98" s="11"/>
      <c r="C98" s="51" t="s">
        <v>34</v>
      </c>
      <c r="D98" s="16">
        <v>99.998800000000003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spans="2:39" x14ac:dyDescent="0.2">
      <c r="B99" s="11"/>
      <c r="C99" s="51" t="s">
        <v>16</v>
      </c>
      <c r="D99" s="17">
        <v>5138</v>
      </c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spans="2:39" x14ac:dyDescent="0.2">
      <c r="B100" s="11"/>
      <c r="C100" s="51" t="s">
        <v>17</v>
      </c>
      <c r="D100" s="48" t="s">
        <v>18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spans="2:39" x14ac:dyDescent="0.2">
      <c r="B101" s="11"/>
      <c r="C101" s="51" t="s">
        <v>36</v>
      </c>
      <c r="D101" s="18">
        <v>42005</v>
      </c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spans="2:39" x14ac:dyDescent="0.2">
      <c r="B102" s="11"/>
      <c r="C102" s="51" t="s">
        <v>37</v>
      </c>
      <c r="D102" s="18">
        <v>42370</v>
      </c>
      <c r="E102" s="11"/>
      <c r="F102" s="48" t="s">
        <v>21</v>
      </c>
      <c r="G102" s="51"/>
      <c r="H102" s="51"/>
      <c r="I102" s="11"/>
      <c r="J102" s="20">
        <f t="shared" ref="J102:AC102" si="39">(MIN(MAX($D102,DATE(J$47,1,1)),DATE(J$47+1,1,1))-MIN(MAX($D101,DATE(J$47,1,1)),DATE(J$47+1,1,1)))</f>
        <v>365</v>
      </c>
      <c r="K102" s="20">
        <f t="shared" si="39"/>
        <v>0</v>
      </c>
      <c r="L102" s="20">
        <f t="shared" si="39"/>
        <v>0</v>
      </c>
      <c r="M102" s="20">
        <f t="shared" si="39"/>
        <v>0</v>
      </c>
      <c r="N102" s="20">
        <f t="shared" si="39"/>
        <v>0</v>
      </c>
      <c r="O102" s="20">
        <f t="shared" si="39"/>
        <v>0</v>
      </c>
      <c r="P102" s="20">
        <f t="shared" si="39"/>
        <v>0</v>
      </c>
      <c r="Q102" s="20">
        <f t="shared" si="39"/>
        <v>0</v>
      </c>
      <c r="R102" s="20">
        <f t="shared" si="39"/>
        <v>0</v>
      </c>
      <c r="S102" s="20">
        <f t="shared" si="39"/>
        <v>0</v>
      </c>
      <c r="T102" s="20">
        <f t="shared" si="39"/>
        <v>0</v>
      </c>
      <c r="U102" s="20">
        <f t="shared" si="39"/>
        <v>0</v>
      </c>
      <c r="V102" s="20">
        <f t="shared" si="39"/>
        <v>0</v>
      </c>
      <c r="W102" s="20">
        <f t="shared" si="39"/>
        <v>0</v>
      </c>
      <c r="X102" s="20">
        <f t="shared" si="39"/>
        <v>0</v>
      </c>
      <c r="Y102" s="20">
        <f t="shared" si="39"/>
        <v>0</v>
      </c>
      <c r="Z102" s="20">
        <f t="shared" si="39"/>
        <v>0</v>
      </c>
      <c r="AA102" s="20">
        <f t="shared" si="39"/>
        <v>0</v>
      </c>
      <c r="AB102" s="20">
        <f t="shared" si="39"/>
        <v>0</v>
      </c>
      <c r="AC102" s="20">
        <f t="shared" si="39"/>
        <v>0</v>
      </c>
      <c r="AD102" s="20">
        <f t="shared" ref="AD102:AM102" si="40">(MIN(MAX($D102,DATE(AD$47,1,1)),DATE(AD$47+1,1,1))-MIN(MAX($D101,DATE(AD$47,1,1)),DATE(AD$47+1,1,1)))</f>
        <v>0</v>
      </c>
      <c r="AE102" s="20">
        <f t="shared" si="40"/>
        <v>0</v>
      </c>
      <c r="AF102" s="20">
        <f t="shared" si="40"/>
        <v>0</v>
      </c>
      <c r="AG102" s="20">
        <f t="shared" si="40"/>
        <v>0</v>
      </c>
      <c r="AH102" s="20">
        <f t="shared" si="40"/>
        <v>0</v>
      </c>
      <c r="AI102" s="20">
        <f t="shared" si="40"/>
        <v>0</v>
      </c>
      <c r="AJ102" s="20">
        <f t="shared" si="40"/>
        <v>0</v>
      </c>
      <c r="AK102" s="20">
        <f t="shared" si="40"/>
        <v>0</v>
      </c>
      <c r="AL102" s="20">
        <f t="shared" si="40"/>
        <v>0</v>
      </c>
      <c r="AM102" s="20">
        <f t="shared" si="40"/>
        <v>0</v>
      </c>
    </row>
    <row r="103" spans="2:39" x14ac:dyDescent="0.2">
      <c r="B103" s="11"/>
      <c r="C103" s="51" t="s">
        <v>22</v>
      </c>
      <c r="D103" s="54">
        <f>D102-D101</f>
        <v>365</v>
      </c>
      <c r="E103" s="11"/>
      <c r="F103" s="48" t="s">
        <v>23</v>
      </c>
      <c r="G103" s="51" t="s">
        <v>45</v>
      </c>
      <c r="H103" s="51" t="str">
        <f ca="1">IFERROR(INDEX(CES_Short,MATCH(Parameters!G103,CES_Pick,0)),"")</f>
        <v>Prop Track Shift</v>
      </c>
      <c r="I103" s="11"/>
      <c r="J103" s="53">
        <f t="shared" ref="J103:AC103" si="41">$D97*J102/SUM($J102:$AC102)</f>
        <v>513793.83439999999</v>
      </c>
      <c r="K103" s="53">
        <f t="shared" si="41"/>
        <v>0</v>
      </c>
      <c r="L103" s="53">
        <f t="shared" si="41"/>
        <v>0</v>
      </c>
      <c r="M103" s="53">
        <f t="shared" si="41"/>
        <v>0</v>
      </c>
      <c r="N103" s="53">
        <f t="shared" si="41"/>
        <v>0</v>
      </c>
      <c r="O103" s="53">
        <f t="shared" si="41"/>
        <v>0</v>
      </c>
      <c r="P103" s="53">
        <f t="shared" si="41"/>
        <v>0</v>
      </c>
      <c r="Q103" s="53">
        <f t="shared" si="41"/>
        <v>0</v>
      </c>
      <c r="R103" s="53">
        <f t="shared" si="41"/>
        <v>0</v>
      </c>
      <c r="S103" s="53">
        <f t="shared" si="41"/>
        <v>0</v>
      </c>
      <c r="T103" s="53">
        <f t="shared" si="41"/>
        <v>0</v>
      </c>
      <c r="U103" s="53">
        <f t="shared" si="41"/>
        <v>0</v>
      </c>
      <c r="V103" s="53">
        <f t="shared" si="41"/>
        <v>0</v>
      </c>
      <c r="W103" s="53">
        <f t="shared" si="41"/>
        <v>0</v>
      </c>
      <c r="X103" s="53">
        <f t="shared" si="41"/>
        <v>0</v>
      </c>
      <c r="Y103" s="53">
        <f t="shared" si="41"/>
        <v>0</v>
      </c>
      <c r="Z103" s="53">
        <f t="shared" si="41"/>
        <v>0</v>
      </c>
      <c r="AA103" s="53">
        <f t="shared" si="41"/>
        <v>0</v>
      </c>
      <c r="AB103" s="53">
        <f t="shared" si="41"/>
        <v>0</v>
      </c>
      <c r="AC103" s="53">
        <f t="shared" si="41"/>
        <v>0</v>
      </c>
      <c r="AD103" s="53">
        <f t="shared" ref="AD103:AM103" si="42">$D97*AD102/SUM($J102:$AC102)</f>
        <v>0</v>
      </c>
      <c r="AE103" s="53">
        <f t="shared" si="42"/>
        <v>0</v>
      </c>
      <c r="AF103" s="53">
        <f t="shared" si="42"/>
        <v>0</v>
      </c>
      <c r="AG103" s="53">
        <f t="shared" si="42"/>
        <v>0</v>
      </c>
      <c r="AH103" s="53">
        <f t="shared" si="42"/>
        <v>0</v>
      </c>
      <c r="AI103" s="53">
        <f t="shared" si="42"/>
        <v>0</v>
      </c>
      <c r="AJ103" s="53">
        <f t="shared" si="42"/>
        <v>0</v>
      </c>
      <c r="AK103" s="53">
        <f t="shared" si="42"/>
        <v>0</v>
      </c>
      <c r="AL103" s="53">
        <f t="shared" si="42"/>
        <v>0</v>
      </c>
      <c r="AM103" s="53">
        <f t="shared" si="42"/>
        <v>0</v>
      </c>
    </row>
    <row r="104" spans="2:39" x14ac:dyDescent="0.2">
      <c r="B104" s="11"/>
      <c r="C104" s="55" t="s">
        <v>25</v>
      </c>
      <c r="D104" s="19">
        <v>0.1</v>
      </c>
      <c r="E104" s="11"/>
      <c r="F104" s="56" t="s">
        <v>26</v>
      </c>
      <c r="G104" s="51" t="s">
        <v>27</v>
      </c>
      <c r="H104" s="51" t="str">
        <f ca="1">IFERROR(INDEX(CES_Short,MATCH(Parameters!G104,CES_Pick,0)),"")</f>
        <v>Mobilization</v>
      </c>
      <c r="I104" s="11"/>
      <c r="J104" s="57">
        <f t="shared" ref="J104:AC104" si="43">J103*$D104</f>
        <v>51379.383440000005</v>
      </c>
      <c r="K104" s="57">
        <f t="shared" si="43"/>
        <v>0</v>
      </c>
      <c r="L104" s="57">
        <f t="shared" si="43"/>
        <v>0</v>
      </c>
      <c r="M104" s="57">
        <f t="shared" si="43"/>
        <v>0</v>
      </c>
      <c r="N104" s="57">
        <f t="shared" si="43"/>
        <v>0</v>
      </c>
      <c r="O104" s="57">
        <f t="shared" si="43"/>
        <v>0</v>
      </c>
      <c r="P104" s="57">
        <f t="shared" si="43"/>
        <v>0</v>
      </c>
      <c r="Q104" s="57">
        <f t="shared" si="43"/>
        <v>0</v>
      </c>
      <c r="R104" s="57">
        <f t="shared" si="43"/>
        <v>0</v>
      </c>
      <c r="S104" s="57">
        <f t="shared" si="43"/>
        <v>0</v>
      </c>
      <c r="T104" s="57">
        <f t="shared" si="43"/>
        <v>0</v>
      </c>
      <c r="U104" s="57">
        <f t="shared" si="43"/>
        <v>0</v>
      </c>
      <c r="V104" s="57">
        <f t="shared" si="43"/>
        <v>0</v>
      </c>
      <c r="W104" s="57">
        <f t="shared" si="43"/>
        <v>0</v>
      </c>
      <c r="X104" s="57">
        <f t="shared" si="43"/>
        <v>0</v>
      </c>
      <c r="Y104" s="57">
        <f t="shared" si="43"/>
        <v>0</v>
      </c>
      <c r="Z104" s="57">
        <f t="shared" si="43"/>
        <v>0</v>
      </c>
      <c r="AA104" s="57">
        <f t="shared" si="43"/>
        <v>0</v>
      </c>
      <c r="AB104" s="57">
        <f t="shared" si="43"/>
        <v>0</v>
      </c>
      <c r="AC104" s="57">
        <f t="shared" si="43"/>
        <v>0</v>
      </c>
      <c r="AD104" s="57">
        <f t="shared" ref="AD104:AM104" si="44">AD103*$D104</f>
        <v>0</v>
      </c>
      <c r="AE104" s="57">
        <f t="shared" si="44"/>
        <v>0</v>
      </c>
      <c r="AF104" s="57">
        <f t="shared" si="44"/>
        <v>0</v>
      </c>
      <c r="AG104" s="57">
        <f t="shared" si="44"/>
        <v>0</v>
      </c>
      <c r="AH104" s="57">
        <f t="shared" si="44"/>
        <v>0</v>
      </c>
      <c r="AI104" s="57">
        <f t="shared" si="44"/>
        <v>0</v>
      </c>
      <c r="AJ104" s="57">
        <f t="shared" si="44"/>
        <v>0</v>
      </c>
      <c r="AK104" s="57">
        <f t="shared" si="44"/>
        <v>0</v>
      </c>
      <c r="AL104" s="57">
        <f t="shared" si="44"/>
        <v>0</v>
      </c>
      <c r="AM104" s="57">
        <f t="shared" si="44"/>
        <v>0</v>
      </c>
    </row>
    <row r="105" spans="2:39" x14ac:dyDescent="0.2">
      <c r="B105" s="11"/>
      <c r="C105" s="55" t="s">
        <v>28</v>
      </c>
      <c r="D105" s="19">
        <v>0.35</v>
      </c>
      <c r="E105" s="11"/>
      <c r="F105" s="56" t="s">
        <v>29</v>
      </c>
      <c r="G105" s="51" t="s">
        <v>30</v>
      </c>
      <c r="H105" s="51" t="str">
        <f ca="1">IFERROR(INDEX(CES_Short,MATCH(Parameters!G105,CES_Pick,0)),"")</f>
        <v>Contingency</v>
      </c>
      <c r="I105" s="11"/>
      <c r="J105" s="57">
        <f t="shared" ref="J105:AC105" si="45">(J103+J104)*$D105</f>
        <v>197810.62624400001</v>
      </c>
      <c r="K105" s="57">
        <f t="shared" si="45"/>
        <v>0</v>
      </c>
      <c r="L105" s="57">
        <f t="shared" si="45"/>
        <v>0</v>
      </c>
      <c r="M105" s="57">
        <f t="shared" si="45"/>
        <v>0</v>
      </c>
      <c r="N105" s="57">
        <f t="shared" si="45"/>
        <v>0</v>
      </c>
      <c r="O105" s="57">
        <f t="shared" si="45"/>
        <v>0</v>
      </c>
      <c r="P105" s="57">
        <f t="shared" si="45"/>
        <v>0</v>
      </c>
      <c r="Q105" s="57">
        <f t="shared" si="45"/>
        <v>0</v>
      </c>
      <c r="R105" s="57">
        <f t="shared" si="45"/>
        <v>0</v>
      </c>
      <c r="S105" s="57">
        <f t="shared" si="45"/>
        <v>0</v>
      </c>
      <c r="T105" s="57">
        <f t="shared" si="45"/>
        <v>0</v>
      </c>
      <c r="U105" s="57">
        <f t="shared" si="45"/>
        <v>0</v>
      </c>
      <c r="V105" s="57">
        <f t="shared" si="45"/>
        <v>0</v>
      </c>
      <c r="W105" s="57">
        <f t="shared" si="45"/>
        <v>0</v>
      </c>
      <c r="X105" s="57">
        <f t="shared" si="45"/>
        <v>0</v>
      </c>
      <c r="Y105" s="57">
        <f t="shared" si="45"/>
        <v>0</v>
      </c>
      <c r="Z105" s="57">
        <f t="shared" si="45"/>
        <v>0</v>
      </c>
      <c r="AA105" s="57">
        <f t="shared" si="45"/>
        <v>0</v>
      </c>
      <c r="AB105" s="57">
        <f t="shared" si="45"/>
        <v>0</v>
      </c>
      <c r="AC105" s="57">
        <f t="shared" si="45"/>
        <v>0</v>
      </c>
      <c r="AD105" s="57">
        <f t="shared" ref="AD105:AM105" si="46">(AD103+AD104)*$D105</f>
        <v>0</v>
      </c>
      <c r="AE105" s="57">
        <f t="shared" si="46"/>
        <v>0</v>
      </c>
      <c r="AF105" s="57">
        <f t="shared" si="46"/>
        <v>0</v>
      </c>
      <c r="AG105" s="57">
        <f t="shared" si="46"/>
        <v>0</v>
      </c>
      <c r="AH105" s="57">
        <f t="shared" si="46"/>
        <v>0</v>
      </c>
      <c r="AI105" s="57">
        <f t="shared" si="46"/>
        <v>0</v>
      </c>
      <c r="AJ105" s="57">
        <f t="shared" si="46"/>
        <v>0</v>
      </c>
      <c r="AK105" s="57">
        <f t="shared" si="46"/>
        <v>0</v>
      </c>
      <c r="AL105" s="57">
        <f t="shared" si="46"/>
        <v>0</v>
      </c>
      <c r="AM105" s="57">
        <f t="shared" si="46"/>
        <v>0</v>
      </c>
    </row>
    <row r="106" spans="2:39" ht="63.75" x14ac:dyDescent="0.2">
      <c r="B106" s="11"/>
      <c r="C106" s="51" t="s">
        <v>31</v>
      </c>
      <c r="D106" s="58" t="s">
        <v>32</v>
      </c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spans="2:39" x14ac:dyDescent="0.2">
      <c r="B107" s="11"/>
      <c r="C107" s="11"/>
      <c r="D107" s="11"/>
      <c r="E107" s="11"/>
      <c r="F107" s="15" t="s">
        <v>139</v>
      </c>
      <c r="G107" s="15" t="s">
        <v>11</v>
      </c>
      <c r="H107" s="15" t="s">
        <v>12</v>
      </c>
      <c r="I107" s="11"/>
      <c r="J107" s="15">
        <f>Start_Year</f>
        <v>2015</v>
      </c>
      <c r="K107" s="15">
        <f t="shared" ref="K107:AM107" si="47">J107+1</f>
        <v>2016</v>
      </c>
      <c r="L107" s="15">
        <f t="shared" si="47"/>
        <v>2017</v>
      </c>
      <c r="M107" s="15">
        <f t="shared" si="47"/>
        <v>2018</v>
      </c>
      <c r="N107" s="15">
        <f t="shared" si="47"/>
        <v>2019</v>
      </c>
      <c r="O107" s="15">
        <f t="shared" si="47"/>
        <v>2020</v>
      </c>
      <c r="P107" s="15">
        <f t="shared" si="47"/>
        <v>2021</v>
      </c>
      <c r="Q107" s="15">
        <f t="shared" si="47"/>
        <v>2022</v>
      </c>
      <c r="R107" s="15">
        <f t="shared" si="47"/>
        <v>2023</v>
      </c>
      <c r="S107" s="15">
        <f t="shared" si="47"/>
        <v>2024</v>
      </c>
      <c r="T107" s="15">
        <f t="shared" si="47"/>
        <v>2025</v>
      </c>
      <c r="U107" s="15">
        <f t="shared" si="47"/>
        <v>2026</v>
      </c>
      <c r="V107" s="15">
        <f t="shared" si="47"/>
        <v>2027</v>
      </c>
      <c r="W107" s="15">
        <f t="shared" si="47"/>
        <v>2028</v>
      </c>
      <c r="X107" s="15">
        <f t="shared" si="47"/>
        <v>2029</v>
      </c>
      <c r="Y107" s="15">
        <f t="shared" si="47"/>
        <v>2030</v>
      </c>
      <c r="Z107" s="15">
        <f t="shared" si="47"/>
        <v>2031</v>
      </c>
      <c r="AA107" s="15">
        <f t="shared" si="47"/>
        <v>2032</v>
      </c>
      <c r="AB107" s="15">
        <f t="shared" si="47"/>
        <v>2033</v>
      </c>
      <c r="AC107" s="15">
        <f t="shared" si="47"/>
        <v>2034</v>
      </c>
      <c r="AD107" s="15">
        <f t="shared" si="47"/>
        <v>2035</v>
      </c>
      <c r="AE107" s="15">
        <f t="shared" si="47"/>
        <v>2036</v>
      </c>
      <c r="AF107" s="15">
        <f t="shared" si="47"/>
        <v>2037</v>
      </c>
      <c r="AG107" s="15">
        <f t="shared" si="47"/>
        <v>2038</v>
      </c>
      <c r="AH107" s="15">
        <f t="shared" si="47"/>
        <v>2039</v>
      </c>
      <c r="AI107" s="15">
        <f t="shared" si="47"/>
        <v>2040</v>
      </c>
      <c r="AJ107" s="15">
        <f t="shared" si="47"/>
        <v>2041</v>
      </c>
      <c r="AK107" s="15">
        <f t="shared" si="47"/>
        <v>2042</v>
      </c>
      <c r="AL107" s="15">
        <f t="shared" si="47"/>
        <v>2043</v>
      </c>
      <c r="AM107" s="15">
        <f t="shared" si="47"/>
        <v>2044</v>
      </c>
    </row>
    <row r="108" spans="2:39" x14ac:dyDescent="0.2">
      <c r="B108" s="10" t="s">
        <v>46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spans="2:39" x14ac:dyDescent="0.2">
      <c r="B109" s="11"/>
      <c r="C109" s="51" t="s">
        <v>14</v>
      </c>
      <c r="D109" s="53">
        <f>D110*D111</f>
        <v>1000000</v>
      </c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spans="2:39" x14ac:dyDescent="0.2">
      <c r="B110" s="11"/>
      <c r="C110" s="51" t="s">
        <v>34</v>
      </c>
      <c r="D110" s="16">
        <v>250000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spans="2:39" x14ac:dyDescent="0.2">
      <c r="B111" s="11"/>
      <c r="C111" s="51" t="s">
        <v>16</v>
      </c>
      <c r="D111" s="17">
        <v>4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spans="2:39" x14ac:dyDescent="0.2">
      <c r="B112" s="11"/>
      <c r="C112" s="51" t="s">
        <v>17</v>
      </c>
      <c r="D112" s="48" t="s">
        <v>47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spans="2:39" x14ac:dyDescent="0.2">
      <c r="B113" s="11"/>
      <c r="C113" s="51" t="s">
        <v>36</v>
      </c>
      <c r="D113" s="18">
        <v>42005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spans="2:39" x14ac:dyDescent="0.2">
      <c r="B114" s="11"/>
      <c r="C114" s="51" t="s">
        <v>37</v>
      </c>
      <c r="D114" s="18">
        <v>42370</v>
      </c>
      <c r="E114" s="11"/>
      <c r="F114" s="48" t="s">
        <v>21</v>
      </c>
      <c r="G114" s="51"/>
      <c r="H114" s="51"/>
      <c r="I114" s="11"/>
      <c r="J114" s="20">
        <f t="shared" ref="J114:AC114" si="48">(MIN(MAX($D114,DATE(J$47,1,1)),DATE(J$47+1,1,1))-MIN(MAX($D113,DATE(J$47,1,1)),DATE(J$47+1,1,1)))</f>
        <v>365</v>
      </c>
      <c r="K114" s="20">
        <f t="shared" si="48"/>
        <v>0</v>
      </c>
      <c r="L114" s="20">
        <f t="shared" si="48"/>
        <v>0</v>
      </c>
      <c r="M114" s="20">
        <f t="shared" si="48"/>
        <v>0</v>
      </c>
      <c r="N114" s="20">
        <f t="shared" si="48"/>
        <v>0</v>
      </c>
      <c r="O114" s="20">
        <f t="shared" si="48"/>
        <v>0</v>
      </c>
      <c r="P114" s="20">
        <f t="shared" si="48"/>
        <v>0</v>
      </c>
      <c r="Q114" s="20">
        <f t="shared" si="48"/>
        <v>0</v>
      </c>
      <c r="R114" s="20">
        <f t="shared" si="48"/>
        <v>0</v>
      </c>
      <c r="S114" s="20">
        <f t="shared" si="48"/>
        <v>0</v>
      </c>
      <c r="T114" s="20">
        <f t="shared" si="48"/>
        <v>0</v>
      </c>
      <c r="U114" s="20">
        <f t="shared" si="48"/>
        <v>0</v>
      </c>
      <c r="V114" s="20">
        <f t="shared" si="48"/>
        <v>0</v>
      </c>
      <c r="W114" s="20">
        <f t="shared" si="48"/>
        <v>0</v>
      </c>
      <c r="X114" s="20">
        <f t="shared" si="48"/>
        <v>0</v>
      </c>
      <c r="Y114" s="20">
        <f t="shared" si="48"/>
        <v>0</v>
      </c>
      <c r="Z114" s="20">
        <f t="shared" si="48"/>
        <v>0</v>
      </c>
      <c r="AA114" s="20">
        <f t="shared" si="48"/>
        <v>0</v>
      </c>
      <c r="AB114" s="20">
        <f t="shared" si="48"/>
        <v>0</v>
      </c>
      <c r="AC114" s="20">
        <f t="shared" si="48"/>
        <v>0</v>
      </c>
      <c r="AD114" s="20">
        <f t="shared" ref="AD114:AM114" si="49">(MIN(MAX($D114,DATE(AD$47,1,1)),DATE(AD$47+1,1,1))-MIN(MAX($D113,DATE(AD$47,1,1)),DATE(AD$47+1,1,1)))</f>
        <v>0</v>
      </c>
      <c r="AE114" s="20">
        <f t="shared" si="49"/>
        <v>0</v>
      </c>
      <c r="AF114" s="20">
        <f t="shared" si="49"/>
        <v>0</v>
      </c>
      <c r="AG114" s="20">
        <f t="shared" si="49"/>
        <v>0</v>
      </c>
      <c r="AH114" s="20">
        <f t="shared" si="49"/>
        <v>0</v>
      </c>
      <c r="AI114" s="20">
        <f t="shared" si="49"/>
        <v>0</v>
      </c>
      <c r="AJ114" s="20">
        <f t="shared" si="49"/>
        <v>0</v>
      </c>
      <c r="AK114" s="20">
        <f t="shared" si="49"/>
        <v>0</v>
      </c>
      <c r="AL114" s="20">
        <f t="shared" si="49"/>
        <v>0</v>
      </c>
      <c r="AM114" s="20">
        <f t="shared" si="49"/>
        <v>0</v>
      </c>
    </row>
    <row r="115" spans="2:39" x14ac:dyDescent="0.2">
      <c r="B115" s="11"/>
      <c r="C115" s="51" t="s">
        <v>22</v>
      </c>
      <c r="D115" s="54">
        <f>D114-D113</f>
        <v>365</v>
      </c>
      <c r="E115" s="11"/>
      <c r="F115" s="48" t="s">
        <v>23</v>
      </c>
      <c r="G115" s="51" t="s">
        <v>48</v>
      </c>
      <c r="H115" s="51" t="str">
        <f ca="1">IFERROR(INDEX(CES_Short,MATCH(Parameters!G115,CES_Pick,0)),"")</f>
        <v>Turnout</v>
      </c>
      <c r="I115" s="11"/>
      <c r="J115" s="53">
        <f t="shared" ref="J115:AC115" si="50">$D109*J114/SUM($J114:$AC114)</f>
        <v>1000000</v>
      </c>
      <c r="K115" s="53">
        <f t="shared" si="50"/>
        <v>0</v>
      </c>
      <c r="L115" s="53">
        <f t="shared" si="50"/>
        <v>0</v>
      </c>
      <c r="M115" s="53">
        <f t="shared" si="50"/>
        <v>0</v>
      </c>
      <c r="N115" s="53">
        <f t="shared" si="50"/>
        <v>0</v>
      </c>
      <c r="O115" s="53">
        <f t="shared" si="50"/>
        <v>0</v>
      </c>
      <c r="P115" s="53">
        <f t="shared" si="50"/>
        <v>0</v>
      </c>
      <c r="Q115" s="53">
        <f t="shared" si="50"/>
        <v>0</v>
      </c>
      <c r="R115" s="53">
        <f t="shared" si="50"/>
        <v>0</v>
      </c>
      <c r="S115" s="53">
        <f t="shared" si="50"/>
        <v>0</v>
      </c>
      <c r="T115" s="53">
        <f t="shared" si="50"/>
        <v>0</v>
      </c>
      <c r="U115" s="53">
        <f t="shared" si="50"/>
        <v>0</v>
      </c>
      <c r="V115" s="53">
        <f t="shared" si="50"/>
        <v>0</v>
      </c>
      <c r="W115" s="53">
        <f t="shared" si="50"/>
        <v>0</v>
      </c>
      <c r="X115" s="53">
        <f t="shared" si="50"/>
        <v>0</v>
      </c>
      <c r="Y115" s="53">
        <f t="shared" si="50"/>
        <v>0</v>
      </c>
      <c r="Z115" s="53">
        <f t="shared" si="50"/>
        <v>0</v>
      </c>
      <c r="AA115" s="53">
        <f t="shared" si="50"/>
        <v>0</v>
      </c>
      <c r="AB115" s="53">
        <f t="shared" si="50"/>
        <v>0</v>
      </c>
      <c r="AC115" s="53">
        <f t="shared" si="50"/>
        <v>0</v>
      </c>
      <c r="AD115" s="53">
        <f t="shared" ref="AD115:AM115" si="51">$D109*AD114/SUM($J114:$AC114)</f>
        <v>0</v>
      </c>
      <c r="AE115" s="53">
        <f t="shared" si="51"/>
        <v>0</v>
      </c>
      <c r="AF115" s="53">
        <f t="shared" si="51"/>
        <v>0</v>
      </c>
      <c r="AG115" s="53">
        <f t="shared" si="51"/>
        <v>0</v>
      </c>
      <c r="AH115" s="53">
        <f t="shared" si="51"/>
        <v>0</v>
      </c>
      <c r="AI115" s="53">
        <f t="shared" si="51"/>
        <v>0</v>
      </c>
      <c r="AJ115" s="53">
        <f t="shared" si="51"/>
        <v>0</v>
      </c>
      <c r="AK115" s="53">
        <f t="shared" si="51"/>
        <v>0</v>
      </c>
      <c r="AL115" s="53">
        <f t="shared" si="51"/>
        <v>0</v>
      </c>
      <c r="AM115" s="53">
        <f t="shared" si="51"/>
        <v>0</v>
      </c>
    </row>
    <row r="116" spans="2:39" x14ac:dyDescent="0.2">
      <c r="B116" s="11"/>
      <c r="C116" s="55" t="s">
        <v>25</v>
      </c>
      <c r="D116" s="19">
        <v>0.1</v>
      </c>
      <c r="E116" s="11"/>
      <c r="F116" s="56" t="s">
        <v>26</v>
      </c>
      <c r="G116" s="51" t="s">
        <v>27</v>
      </c>
      <c r="H116" s="51" t="str">
        <f ca="1">IFERROR(INDEX(CES_Short,MATCH(Parameters!G116,CES_Pick,0)),"")</f>
        <v>Mobilization</v>
      </c>
      <c r="I116" s="11"/>
      <c r="J116" s="57">
        <f t="shared" ref="J116:AC116" si="52">J115*$D116</f>
        <v>100000</v>
      </c>
      <c r="K116" s="57">
        <f t="shared" si="52"/>
        <v>0</v>
      </c>
      <c r="L116" s="57">
        <f t="shared" si="52"/>
        <v>0</v>
      </c>
      <c r="M116" s="57">
        <f t="shared" si="52"/>
        <v>0</v>
      </c>
      <c r="N116" s="57">
        <f t="shared" si="52"/>
        <v>0</v>
      </c>
      <c r="O116" s="57">
        <f t="shared" si="52"/>
        <v>0</v>
      </c>
      <c r="P116" s="57">
        <f t="shared" si="52"/>
        <v>0</v>
      </c>
      <c r="Q116" s="57">
        <f t="shared" si="52"/>
        <v>0</v>
      </c>
      <c r="R116" s="57">
        <f t="shared" si="52"/>
        <v>0</v>
      </c>
      <c r="S116" s="57">
        <f t="shared" si="52"/>
        <v>0</v>
      </c>
      <c r="T116" s="57">
        <f t="shared" si="52"/>
        <v>0</v>
      </c>
      <c r="U116" s="57">
        <f t="shared" si="52"/>
        <v>0</v>
      </c>
      <c r="V116" s="57">
        <f t="shared" si="52"/>
        <v>0</v>
      </c>
      <c r="W116" s="57">
        <f t="shared" si="52"/>
        <v>0</v>
      </c>
      <c r="X116" s="57">
        <f t="shared" si="52"/>
        <v>0</v>
      </c>
      <c r="Y116" s="57">
        <f t="shared" si="52"/>
        <v>0</v>
      </c>
      <c r="Z116" s="57">
        <f t="shared" si="52"/>
        <v>0</v>
      </c>
      <c r="AA116" s="57">
        <f t="shared" si="52"/>
        <v>0</v>
      </c>
      <c r="AB116" s="57">
        <f t="shared" si="52"/>
        <v>0</v>
      </c>
      <c r="AC116" s="57">
        <f t="shared" si="52"/>
        <v>0</v>
      </c>
      <c r="AD116" s="57">
        <f t="shared" ref="AD116:AM116" si="53">AD115*$D116</f>
        <v>0</v>
      </c>
      <c r="AE116" s="57">
        <f t="shared" si="53"/>
        <v>0</v>
      </c>
      <c r="AF116" s="57">
        <f t="shared" si="53"/>
        <v>0</v>
      </c>
      <c r="AG116" s="57">
        <f t="shared" si="53"/>
        <v>0</v>
      </c>
      <c r="AH116" s="57">
        <f t="shared" si="53"/>
        <v>0</v>
      </c>
      <c r="AI116" s="57">
        <f t="shared" si="53"/>
        <v>0</v>
      </c>
      <c r="AJ116" s="57">
        <f t="shared" si="53"/>
        <v>0</v>
      </c>
      <c r="AK116" s="57">
        <f t="shared" si="53"/>
        <v>0</v>
      </c>
      <c r="AL116" s="57">
        <f t="shared" si="53"/>
        <v>0</v>
      </c>
      <c r="AM116" s="57">
        <f t="shared" si="53"/>
        <v>0</v>
      </c>
    </row>
    <row r="117" spans="2:39" x14ac:dyDescent="0.2">
      <c r="B117" s="11"/>
      <c r="C117" s="55" t="s">
        <v>28</v>
      </c>
      <c r="D117" s="19">
        <v>0.35</v>
      </c>
      <c r="E117" s="11"/>
      <c r="F117" s="56" t="s">
        <v>29</v>
      </c>
      <c r="G117" s="51" t="s">
        <v>30</v>
      </c>
      <c r="H117" s="51" t="str">
        <f ca="1">IFERROR(INDEX(CES_Short,MATCH(Parameters!G117,CES_Pick,0)),"")</f>
        <v>Contingency</v>
      </c>
      <c r="I117" s="11"/>
      <c r="J117" s="57">
        <f t="shared" ref="J117:AC117" si="54">(J115+J116)*$D117</f>
        <v>385000</v>
      </c>
      <c r="K117" s="57">
        <f t="shared" si="54"/>
        <v>0</v>
      </c>
      <c r="L117" s="57">
        <f t="shared" si="54"/>
        <v>0</v>
      </c>
      <c r="M117" s="57">
        <f t="shared" si="54"/>
        <v>0</v>
      </c>
      <c r="N117" s="57">
        <f t="shared" si="54"/>
        <v>0</v>
      </c>
      <c r="O117" s="57">
        <f t="shared" si="54"/>
        <v>0</v>
      </c>
      <c r="P117" s="57">
        <f t="shared" si="54"/>
        <v>0</v>
      </c>
      <c r="Q117" s="57">
        <f t="shared" si="54"/>
        <v>0</v>
      </c>
      <c r="R117" s="57">
        <f t="shared" si="54"/>
        <v>0</v>
      </c>
      <c r="S117" s="57">
        <f t="shared" si="54"/>
        <v>0</v>
      </c>
      <c r="T117" s="57">
        <f t="shared" si="54"/>
        <v>0</v>
      </c>
      <c r="U117" s="57">
        <f t="shared" si="54"/>
        <v>0</v>
      </c>
      <c r="V117" s="57">
        <f t="shared" si="54"/>
        <v>0</v>
      </c>
      <c r="W117" s="57">
        <f t="shared" si="54"/>
        <v>0</v>
      </c>
      <c r="X117" s="57">
        <f t="shared" si="54"/>
        <v>0</v>
      </c>
      <c r="Y117" s="57">
        <f t="shared" si="54"/>
        <v>0</v>
      </c>
      <c r="Z117" s="57">
        <f t="shared" si="54"/>
        <v>0</v>
      </c>
      <c r="AA117" s="57">
        <f t="shared" si="54"/>
        <v>0</v>
      </c>
      <c r="AB117" s="57">
        <f t="shared" si="54"/>
        <v>0</v>
      </c>
      <c r="AC117" s="57">
        <f t="shared" si="54"/>
        <v>0</v>
      </c>
      <c r="AD117" s="57">
        <f t="shared" ref="AD117:AM117" si="55">(AD115+AD116)*$D117</f>
        <v>0</v>
      </c>
      <c r="AE117" s="57">
        <f t="shared" si="55"/>
        <v>0</v>
      </c>
      <c r="AF117" s="57">
        <f t="shared" si="55"/>
        <v>0</v>
      </c>
      <c r="AG117" s="57">
        <f t="shared" si="55"/>
        <v>0</v>
      </c>
      <c r="AH117" s="57">
        <f t="shared" si="55"/>
        <v>0</v>
      </c>
      <c r="AI117" s="57">
        <f t="shared" si="55"/>
        <v>0</v>
      </c>
      <c r="AJ117" s="57">
        <f t="shared" si="55"/>
        <v>0</v>
      </c>
      <c r="AK117" s="57">
        <f t="shared" si="55"/>
        <v>0</v>
      </c>
      <c r="AL117" s="57">
        <f t="shared" si="55"/>
        <v>0</v>
      </c>
      <c r="AM117" s="57">
        <f t="shared" si="55"/>
        <v>0</v>
      </c>
    </row>
    <row r="118" spans="2:39" ht="63.75" x14ac:dyDescent="0.2">
      <c r="B118" s="11"/>
      <c r="C118" s="51" t="s">
        <v>31</v>
      </c>
      <c r="D118" s="58" t="s">
        <v>32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spans="2:39" x14ac:dyDescent="0.2">
      <c r="B119" s="11"/>
      <c r="C119" s="11"/>
      <c r="D119" s="11"/>
      <c r="E119" s="11"/>
      <c r="F119" s="15" t="s">
        <v>139</v>
      </c>
      <c r="G119" s="15" t="s">
        <v>11</v>
      </c>
      <c r="H119" s="15" t="s">
        <v>12</v>
      </c>
      <c r="I119" s="11"/>
      <c r="J119" s="15">
        <f>Start_Year</f>
        <v>2015</v>
      </c>
      <c r="K119" s="15">
        <f t="shared" ref="K119:AM119" si="56">J119+1</f>
        <v>2016</v>
      </c>
      <c r="L119" s="15">
        <f t="shared" si="56"/>
        <v>2017</v>
      </c>
      <c r="M119" s="15">
        <f t="shared" si="56"/>
        <v>2018</v>
      </c>
      <c r="N119" s="15">
        <f t="shared" si="56"/>
        <v>2019</v>
      </c>
      <c r="O119" s="15">
        <f t="shared" si="56"/>
        <v>2020</v>
      </c>
      <c r="P119" s="15">
        <f t="shared" si="56"/>
        <v>2021</v>
      </c>
      <c r="Q119" s="15">
        <f t="shared" si="56"/>
        <v>2022</v>
      </c>
      <c r="R119" s="15">
        <f t="shared" si="56"/>
        <v>2023</v>
      </c>
      <c r="S119" s="15">
        <f t="shared" si="56"/>
        <v>2024</v>
      </c>
      <c r="T119" s="15">
        <f t="shared" si="56"/>
        <v>2025</v>
      </c>
      <c r="U119" s="15">
        <f t="shared" si="56"/>
        <v>2026</v>
      </c>
      <c r="V119" s="15">
        <f t="shared" si="56"/>
        <v>2027</v>
      </c>
      <c r="W119" s="15">
        <f t="shared" si="56"/>
        <v>2028</v>
      </c>
      <c r="X119" s="15">
        <f t="shared" si="56"/>
        <v>2029</v>
      </c>
      <c r="Y119" s="15">
        <f t="shared" si="56"/>
        <v>2030</v>
      </c>
      <c r="Z119" s="15">
        <f t="shared" si="56"/>
        <v>2031</v>
      </c>
      <c r="AA119" s="15">
        <f t="shared" si="56"/>
        <v>2032</v>
      </c>
      <c r="AB119" s="15">
        <f t="shared" si="56"/>
        <v>2033</v>
      </c>
      <c r="AC119" s="15">
        <f t="shared" si="56"/>
        <v>2034</v>
      </c>
      <c r="AD119" s="15">
        <f t="shared" si="56"/>
        <v>2035</v>
      </c>
      <c r="AE119" s="15">
        <f t="shared" si="56"/>
        <v>2036</v>
      </c>
      <c r="AF119" s="15">
        <f t="shared" si="56"/>
        <v>2037</v>
      </c>
      <c r="AG119" s="15">
        <f t="shared" si="56"/>
        <v>2038</v>
      </c>
      <c r="AH119" s="15">
        <f t="shared" si="56"/>
        <v>2039</v>
      </c>
      <c r="AI119" s="15">
        <f t="shared" si="56"/>
        <v>2040</v>
      </c>
      <c r="AJ119" s="15">
        <f t="shared" si="56"/>
        <v>2041</v>
      </c>
      <c r="AK119" s="15">
        <f t="shared" si="56"/>
        <v>2042</v>
      </c>
      <c r="AL119" s="15">
        <f t="shared" si="56"/>
        <v>2043</v>
      </c>
      <c r="AM119" s="15">
        <f t="shared" si="56"/>
        <v>2044</v>
      </c>
    </row>
    <row r="120" spans="2:39" x14ac:dyDescent="0.2">
      <c r="B120" s="10" t="s">
        <v>49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spans="2:39" x14ac:dyDescent="0.2">
      <c r="B121" s="11"/>
      <c r="C121" s="51" t="s">
        <v>14</v>
      </c>
      <c r="D121" s="53">
        <f>D122*D123</f>
        <v>250000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spans="2:39" x14ac:dyDescent="0.2">
      <c r="B122" s="11"/>
      <c r="C122" s="51" t="s">
        <v>34</v>
      </c>
      <c r="D122" s="16">
        <v>250000</v>
      </c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spans="2:39" x14ac:dyDescent="0.2">
      <c r="B123" s="11"/>
      <c r="C123" s="51" t="s">
        <v>16</v>
      </c>
      <c r="D123" s="17">
        <v>1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spans="2:39" x14ac:dyDescent="0.2">
      <c r="B124" s="11"/>
      <c r="C124" s="51" t="s">
        <v>17</v>
      </c>
      <c r="D124" s="48" t="s">
        <v>47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spans="2:39" x14ac:dyDescent="0.2">
      <c r="B125" s="11"/>
      <c r="C125" s="51" t="s">
        <v>36</v>
      </c>
      <c r="D125" s="18">
        <v>42005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spans="2:39" x14ac:dyDescent="0.2">
      <c r="B126" s="11"/>
      <c r="C126" s="51" t="s">
        <v>37</v>
      </c>
      <c r="D126" s="18">
        <v>42370</v>
      </c>
      <c r="E126" s="11"/>
      <c r="F126" s="48" t="s">
        <v>21</v>
      </c>
      <c r="G126" s="51"/>
      <c r="H126" s="51"/>
      <c r="I126" s="11"/>
      <c r="J126" s="20">
        <f t="shared" ref="J126:AC126" si="57">(MIN(MAX($D126,DATE(J$47,1,1)),DATE(J$47+1,1,1))-MIN(MAX($D125,DATE(J$47,1,1)),DATE(J$47+1,1,1)))</f>
        <v>365</v>
      </c>
      <c r="K126" s="20">
        <f t="shared" si="57"/>
        <v>0</v>
      </c>
      <c r="L126" s="20">
        <f t="shared" si="57"/>
        <v>0</v>
      </c>
      <c r="M126" s="20">
        <f t="shared" si="57"/>
        <v>0</v>
      </c>
      <c r="N126" s="20">
        <f t="shared" si="57"/>
        <v>0</v>
      </c>
      <c r="O126" s="20">
        <f t="shared" si="57"/>
        <v>0</v>
      </c>
      <c r="P126" s="20">
        <f t="shared" si="57"/>
        <v>0</v>
      </c>
      <c r="Q126" s="20">
        <f t="shared" si="57"/>
        <v>0</v>
      </c>
      <c r="R126" s="20">
        <f t="shared" si="57"/>
        <v>0</v>
      </c>
      <c r="S126" s="20">
        <f t="shared" si="57"/>
        <v>0</v>
      </c>
      <c r="T126" s="20">
        <f t="shared" si="57"/>
        <v>0</v>
      </c>
      <c r="U126" s="20">
        <f t="shared" si="57"/>
        <v>0</v>
      </c>
      <c r="V126" s="20">
        <f t="shared" si="57"/>
        <v>0</v>
      </c>
      <c r="W126" s="20">
        <f t="shared" si="57"/>
        <v>0</v>
      </c>
      <c r="X126" s="20">
        <f t="shared" si="57"/>
        <v>0</v>
      </c>
      <c r="Y126" s="20">
        <f t="shared" si="57"/>
        <v>0</v>
      </c>
      <c r="Z126" s="20">
        <f t="shared" si="57"/>
        <v>0</v>
      </c>
      <c r="AA126" s="20">
        <f t="shared" si="57"/>
        <v>0</v>
      </c>
      <c r="AB126" s="20">
        <f t="shared" si="57"/>
        <v>0</v>
      </c>
      <c r="AC126" s="20">
        <f t="shared" si="57"/>
        <v>0</v>
      </c>
      <c r="AD126" s="20">
        <f t="shared" ref="AD126:AM126" si="58">(MIN(MAX($D126,DATE(AD$47,1,1)),DATE(AD$47+1,1,1))-MIN(MAX($D125,DATE(AD$47,1,1)),DATE(AD$47+1,1,1)))</f>
        <v>0</v>
      </c>
      <c r="AE126" s="20">
        <f t="shared" si="58"/>
        <v>0</v>
      </c>
      <c r="AF126" s="20">
        <f t="shared" si="58"/>
        <v>0</v>
      </c>
      <c r="AG126" s="20">
        <f t="shared" si="58"/>
        <v>0</v>
      </c>
      <c r="AH126" s="20">
        <f t="shared" si="58"/>
        <v>0</v>
      </c>
      <c r="AI126" s="20">
        <f t="shared" si="58"/>
        <v>0</v>
      </c>
      <c r="AJ126" s="20">
        <f t="shared" si="58"/>
        <v>0</v>
      </c>
      <c r="AK126" s="20">
        <f t="shared" si="58"/>
        <v>0</v>
      </c>
      <c r="AL126" s="20">
        <f t="shared" si="58"/>
        <v>0</v>
      </c>
      <c r="AM126" s="20">
        <f t="shared" si="58"/>
        <v>0</v>
      </c>
    </row>
    <row r="127" spans="2:39" x14ac:dyDescent="0.2">
      <c r="B127" s="11"/>
      <c r="C127" s="51" t="s">
        <v>22</v>
      </c>
      <c r="D127" s="54">
        <f>D126-D125</f>
        <v>365</v>
      </c>
      <c r="E127" s="11"/>
      <c r="F127" s="48" t="s">
        <v>23</v>
      </c>
      <c r="G127" s="51" t="s">
        <v>50</v>
      </c>
      <c r="H127" s="51" t="str">
        <f ca="1">IFERROR(INDEX(CES_Short,MATCH(Parameters!G127,CES_Pick,0)),"")</f>
        <v>Fennel Signal</v>
      </c>
      <c r="I127" s="11"/>
      <c r="J127" s="53">
        <f t="shared" ref="J127:AC127" si="59">$D121*J126/SUM($J126:$AC126)</f>
        <v>250000</v>
      </c>
      <c r="K127" s="53">
        <f t="shared" si="59"/>
        <v>0</v>
      </c>
      <c r="L127" s="53">
        <f t="shared" si="59"/>
        <v>0</v>
      </c>
      <c r="M127" s="53">
        <f t="shared" si="59"/>
        <v>0</v>
      </c>
      <c r="N127" s="53">
        <f t="shared" si="59"/>
        <v>0</v>
      </c>
      <c r="O127" s="53">
        <f t="shared" si="59"/>
        <v>0</v>
      </c>
      <c r="P127" s="53">
        <f t="shared" si="59"/>
        <v>0</v>
      </c>
      <c r="Q127" s="53">
        <f t="shared" si="59"/>
        <v>0</v>
      </c>
      <c r="R127" s="53">
        <f t="shared" si="59"/>
        <v>0</v>
      </c>
      <c r="S127" s="53">
        <f t="shared" si="59"/>
        <v>0</v>
      </c>
      <c r="T127" s="53">
        <f t="shared" si="59"/>
        <v>0</v>
      </c>
      <c r="U127" s="53">
        <f t="shared" si="59"/>
        <v>0</v>
      </c>
      <c r="V127" s="53">
        <f t="shared" si="59"/>
        <v>0</v>
      </c>
      <c r="W127" s="53">
        <f t="shared" si="59"/>
        <v>0</v>
      </c>
      <c r="X127" s="53">
        <f t="shared" si="59"/>
        <v>0</v>
      </c>
      <c r="Y127" s="53">
        <f t="shared" si="59"/>
        <v>0</v>
      </c>
      <c r="Z127" s="53">
        <f t="shared" si="59"/>
        <v>0</v>
      </c>
      <c r="AA127" s="53">
        <f t="shared" si="59"/>
        <v>0</v>
      </c>
      <c r="AB127" s="53">
        <f t="shared" si="59"/>
        <v>0</v>
      </c>
      <c r="AC127" s="53">
        <f t="shared" si="59"/>
        <v>0</v>
      </c>
      <c r="AD127" s="53">
        <f t="shared" ref="AD127:AM127" si="60">$D121*AD126/SUM($J126:$AC126)</f>
        <v>0</v>
      </c>
      <c r="AE127" s="53">
        <f t="shared" si="60"/>
        <v>0</v>
      </c>
      <c r="AF127" s="53">
        <f t="shared" si="60"/>
        <v>0</v>
      </c>
      <c r="AG127" s="53">
        <f t="shared" si="60"/>
        <v>0</v>
      </c>
      <c r="AH127" s="53">
        <f t="shared" si="60"/>
        <v>0</v>
      </c>
      <c r="AI127" s="53">
        <f t="shared" si="60"/>
        <v>0</v>
      </c>
      <c r="AJ127" s="53">
        <f t="shared" si="60"/>
        <v>0</v>
      </c>
      <c r="AK127" s="53">
        <f t="shared" si="60"/>
        <v>0</v>
      </c>
      <c r="AL127" s="53">
        <f t="shared" si="60"/>
        <v>0</v>
      </c>
      <c r="AM127" s="53">
        <f t="shared" si="60"/>
        <v>0</v>
      </c>
    </row>
    <row r="128" spans="2:39" x14ac:dyDescent="0.2">
      <c r="B128" s="11"/>
      <c r="C128" s="55" t="s">
        <v>25</v>
      </c>
      <c r="D128" s="19">
        <v>0.1</v>
      </c>
      <c r="E128" s="11"/>
      <c r="F128" s="56" t="s">
        <v>26</v>
      </c>
      <c r="G128" s="51" t="s">
        <v>27</v>
      </c>
      <c r="H128" s="51" t="str">
        <f ca="1">IFERROR(INDEX(CES_Short,MATCH(Parameters!G128,CES_Pick,0)),"")</f>
        <v>Mobilization</v>
      </c>
      <c r="I128" s="11"/>
      <c r="J128" s="57">
        <f t="shared" ref="J128:AC128" si="61">J127*$D128</f>
        <v>25000</v>
      </c>
      <c r="K128" s="57">
        <f t="shared" si="61"/>
        <v>0</v>
      </c>
      <c r="L128" s="57">
        <f t="shared" si="61"/>
        <v>0</v>
      </c>
      <c r="M128" s="57">
        <f t="shared" si="61"/>
        <v>0</v>
      </c>
      <c r="N128" s="57">
        <f t="shared" si="61"/>
        <v>0</v>
      </c>
      <c r="O128" s="57">
        <f t="shared" si="61"/>
        <v>0</v>
      </c>
      <c r="P128" s="57">
        <f t="shared" si="61"/>
        <v>0</v>
      </c>
      <c r="Q128" s="57">
        <f t="shared" si="61"/>
        <v>0</v>
      </c>
      <c r="R128" s="57">
        <f t="shared" si="61"/>
        <v>0</v>
      </c>
      <c r="S128" s="57">
        <f t="shared" si="61"/>
        <v>0</v>
      </c>
      <c r="T128" s="57">
        <f t="shared" si="61"/>
        <v>0</v>
      </c>
      <c r="U128" s="57">
        <f t="shared" si="61"/>
        <v>0</v>
      </c>
      <c r="V128" s="57">
        <f t="shared" si="61"/>
        <v>0</v>
      </c>
      <c r="W128" s="57">
        <f t="shared" si="61"/>
        <v>0</v>
      </c>
      <c r="X128" s="57">
        <f t="shared" si="61"/>
        <v>0</v>
      </c>
      <c r="Y128" s="57">
        <f t="shared" si="61"/>
        <v>0</v>
      </c>
      <c r="Z128" s="57">
        <f t="shared" si="61"/>
        <v>0</v>
      </c>
      <c r="AA128" s="57">
        <f t="shared" si="61"/>
        <v>0</v>
      </c>
      <c r="AB128" s="57">
        <f t="shared" si="61"/>
        <v>0</v>
      </c>
      <c r="AC128" s="57">
        <f t="shared" si="61"/>
        <v>0</v>
      </c>
      <c r="AD128" s="57">
        <f t="shared" ref="AD128:AM128" si="62">AD127*$D128</f>
        <v>0</v>
      </c>
      <c r="AE128" s="57">
        <f t="shared" si="62"/>
        <v>0</v>
      </c>
      <c r="AF128" s="57">
        <f t="shared" si="62"/>
        <v>0</v>
      </c>
      <c r="AG128" s="57">
        <f t="shared" si="62"/>
        <v>0</v>
      </c>
      <c r="AH128" s="57">
        <f t="shared" si="62"/>
        <v>0</v>
      </c>
      <c r="AI128" s="57">
        <f t="shared" si="62"/>
        <v>0</v>
      </c>
      <c r="AJ128" s="57">
        <f t="shared" si="62"/>
        <v>0</v>
      </c>
      <c r="AK128" s="57">
        <f t="shared" si="62"/>
        <v>0</v>
      </c>
      <c r="AL128" s="57">
        <f t="shared" si="62"/>
        <v>0</v>
      </c>
      <c r="AM128" s="57">
        <f t="shared" si="62"/>
        <v>0</v>
      </c>
    </row>
    <row r="129" spans="2:39" x14ac:dyDescent="0.2">
      <c r="B129" s="11"/>
      <c r="C129" s="55" t="s">
        <v>28</v>
      </c>
      <c r="D129" s="19">
        <v>0.35</v>
      </c>
      <c r="E129" s="11"/>
      <c r="F129" s="56" t="s">
        <v>29</v>
      </c>
      <c r="G129" s="51" t="s">
        <v>30</v>
      </c>
      <c r="H129" s="51" t="str">
        <f ca="1">IFERROR(INDEX(CES_Short,MATCH(Parameters!G129,CES_Pick,0)),"")</f>
        <v>Contingency</v>
      </c>
      <c r="I129" s="11"/>
      <c r="J129" s="57">
        <f t="shared" ref="J129:AC129" si="63">(J127+J128)*$D129</f>
        <v>96250</v>
      </c>
      <c r="K129" s="57">
        <f t="shared" si="63"/>
        <v>0</v>
      </c>
      <c r="L129" s="57">
        <f t="shared" si="63"/>
        <v>0</v>
      </c>
      <c r="M129" s="57">
        <f t="shared" si="63"/>
        <v>0</v>
      </c>
      <c r="N129" s="57">
        <f t="shared" si="63"/>
        <v>0</v>
      </c>
      <c r="O129" s="57">
        <f t="shared" si="63"/>
        <v>0</v>
      </c>
      <c r="P129" s="57">
        <f t="shared" si="63"/>
        <v>0</v>
      </c>
      <c r="Q129" s="57">
        <f t="shared" si="63"/>
        <v>0</v>
      </c>
      <c r="R129" s="57">
        <f t="shared" si="63"/>
        <v>0</v>
      </c>
      <c r="S129" s="57">
        <f t="shared" si="63"/>
        <v>0</v>
      </c>
      <c r="T129" s="57">
        <f t="shared" si="63"/>
        <v>0</v>
      </c>
      <c r="U129" s="57">
        <f t="shared" si="63"/>
        <v>0</v>
      </c>
      <c r="V129" s="57">
        <f t="shared" si="63"/>
        <v>0</v>
      </c>
      <c r="W129" s="57">
        <f t="shared" si="63"/>
        <v>0</v>
      </c>
      <c r="X129" s="57">
        <f t="shared" si="63"/>
        <v>0</v>
      </c>
      <c r="Y129" s="57">
        <f t="shared" si="63"/>
        <v>0</v>
      </c>
      <c r="Z129" s="57">
        <f t="shared" si="63"/>
        <v>0</v>
      </c>
      <c r="AA129" s="57">
        <f t="shared" si="63"/>
        <v>0</v>
      </c>
      <c r="AB129" s="57">
        <f t="shared" si="63"/>
        <v>0</v>
      </c>
      <c r="AC129" s="57">
        <f t="shared" si="63"/>
        <v>0</v>
      </c>
      <c r="AD129" s="57">
        <f t="shared" ref="AD129:AM129" si="64">(AD127+AD128)*$D129</f>
        <v>0</v>
      </c>
      <c r="AE129" s="57">
        <f t="shared" si="64"/>
        <v>0</v>
      </c>
      <c r="AF129" s="57">
        <f t="shared" si="64"/>
        <v>0</v>
      </c>
      <c r="AG129" s="57">
        <f t="shared" si="64"/>
        <v>0</v>
      </c>
      <c r="AH129" s="57">
        <f t="shared" si="64"/>
        <v>0</v>
      </c>
      <c r="AI129" s="57">
        <f t="shared" si="64"/>
        <v>0</v>
      </c>
      <c r="AJ129" s="57">
        <f t="shared" si="64"/>
        <v>0</v>
      </c>
      <c r="AK129" s="57">
        <f t="shared" si="64"/>
        <v>0</v>
      </c>
      <c r="AL129" s="57">
        <f t="shared" si="64"/>
        <v>0</v>
      </c>
      <c r="AM129" s="57">
        <f t="shared" si="64"/>
        <v>0</v>
      </c>
    </row>
    <row r="130" spans="2:39" ht="63.75" x14ac:dyDescent="0.2">
      <c r="B130" s="11"/>
      <c r="C130" s="51" t="s">
        <v>31</v>
      </c>
      <c r="D130" s="58" t="s">
        <v>32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spans="2:39" x14ac:dyDescent="0.2">
      <c r="B131" s="11"/>
      <c r="C131" s="11"/>
      <c r="D131" s="11"/>
      <c r="E131" s="11"/>
      <c r="F131" s="15" t="s">
        <v>139</v>
      </c>
      <c r="G131" s="15" t="s">
        <v>11</v>
      </c>
      <c r="H131" s="15" t="s">
        <v>12</v>
      </c>
      <c r="I131" s="11"/>
      <c r="J131" s="15">
        <f>Start_Year</f>
        <v>2015</v>
      </c>
      <c r="K131" s="15">
        <f t="shared" ref="K131:AM131" si="65">J131+1</f>
        <v>2016</v>
      </c>
      <c r="L131" s="15">
        <f t="shared" si="65"/>
        <v>2017</v>
      </c>
      <c r="M131" s="15">
        <f t="shared" si="65"/>
        <v>2018</v>
      </c>
      <c r="N131" s="15">
        <f t="shared" si="65"/>
        <v>2019</v>
      </c>
      <c r="O131" s="15">
        <f t="shared" si="65"/>
        <v>2020</v>
      </c>
      <c r="P131" s="15">
        <f t="shared" si="65"/>
        <v>2021</v>
      </c>
      <c r="Q131" s="15">
        <f t="shared" si="65"/>
        <v>2022</v>
      </c>
      <c r="R131" s="15">
        <f t="shared" si="65"/>
        <v>2023</v>
      </c>
      <c r="S131" s="15">
        <f t="shared" si="65"/>
        <v>2024</v>
      </c>
      <c r="T131" s="15">
        <f t="shared" si="65"/>
        <v>2025</v>
      </c>
      <c r="U131" s="15">
        <f t="shared" si="65"/>
        <v>2026</v>
      </c>
      <c r="V131" s="15">
        <f t="shared" si="65"/>
        <v>2027</v>
      </c>
      <c r="W131" s="15">
        <f t="shared" si="65"/>
        <v>2028</v>
      </c>
      <c r="X131" s="15">
        <f t="shared" si="65"/>
        <v>2029</v>
      </c>
      <c r="Y131" s="15">
        <f t="shared" si="65"/>
        <v>2030</v>
      </c>
      <c r="Z131" s="15">
        <f t="shared" si="65"/>
        <v>2031</v>
      </c>
      <c r="AA131" s="15">
        <f t="shared" si="65"/>
        <v>2032</v>
      </c>
      <c r="AB131" s="15">
        <f t="shared" si="65"/>
        <v>2033</v>
      </c>
      <c r="AC131" s="15">
        <f t="shared" si="65"/>
        <v>2034</v>
      </c>
      <c r="AD131" s="15">
        <f t="shared" si="65"/>
        <v>2035</v>
      </c>
      <c r="AE131" s="15">
        <f t="shared" si="65"/>
        <v>2036</v>
      </c>
      <c r="AF131" s="15">
        <f t="shared" si="65"/>
        <v>2037</v>
      </c>
      <c r="AG131" s="15">
        <f t="shared" si="65"/>
        <v>2038</v>
      </c>
      <c r="AH131" s="15">
        <f t="shared" si="65"/>
        <v>2039</v>
      </c>
      <c r="AI131" s="15">
        <f t="shared" si="65"/>
        <v>2040</v>
      </c>
      <c r="AJ131" s="15">
        <f t="shared" si="65"/>
        <v>2041</v>
      </c>
      <c r="AK131" s="15">
        <f t="shared" si="65"/>
        <v>2042</v>
      </c>
      <c r="AL131" s="15">
        <f t="shared" si="65"/>
        <v>2043</v>
      </c>
      <c r="AM131" s="15">
        <f t="shared" si="65"/>
        <v>2044</v>
      </c>
    </row>
    <row r="132" spans="2:39" x14ac:dyDescent="0.2">
      <c r="B132" s="10" t="s">
        <v>51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spans="2:39" x14ac:dyDescent="0.2">
      <c r="B133" s="11"/>
      <c r="C133" s="51" t="s">
        <v>14</v>
      </c>
      <c r="D133" s="53">
        <f>D134*D135</f>
        <v>250000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spans="2:39" x14ac:dyDescent="0.2">
      <c r="B134" s="11"/>
      <c r="C134" s="51" t="s">
        <v>34</v>
      </c>
      <c r="D134" s="16">
        <v>250000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spans="2:39" x14ac:dyDescent="0.2">
      <c r="B135" s="11"/>
      <c r="C135" s="51" t="s">
        <v>16</v>
      </c>
      <c r="D135" s="17">
        <v>1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spans="2:39" x14ac:dyDescent="0.2">
      <c r="B136" s="11"/>
      <c r="C136" s="51" t="s">
        <v>17</v>
      </c>
      <c r="D136" s="48" t="s">
        <v>47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spans="2:39" x14ac:dyDescent="0.2">
      <c r="B137" s="11"/>
      <c r="C137" s="51" t="s">
        <v>36</v>
      </c>
      <c r="D137" s="18">
        <v>42005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spans="2:39" x14ac:dyDescent="0.2">
      <c r="B138" s="11"/>
      <c r="C138" s="51" t="s">
        <v>37</v>
      </c>
      <c r="D138" s="18">
        <v>42370</v>
      </c>
      <c r="E138" s="11"/>
      <c r="F138" s="48" t="s">
        <v>21</v>
      </c>
      <c r="G138" s="51"/>
      <c r="H138" s="51"/>
      <c r="I138" s="11"/>
      <c r="J138" s="20">
        <f t="shared" ref="J138:AC138" si="66">(MIN(MAX($D138,DATE(J$47,1,1)),DATE(J$47+1,1,1))-MIN(MAX($D137,DATE(J$47,1,1)),DATE(J$47+1,1,1)))</f>
        <v>365</v>
      </c>
      <c r="K138" s="20">
        <f t="shared" si="66"/>
        <v>0</v>
      </c>
      <c r="L138" s="20">
        <f t="shared" si="66"/>
        <v>0</v>
      </c>
      <c r="M138" s="20">
        <f t="shared" si="66"/>
        <v>0</v>
      </c>
      <c r="N138" s="20">
        <f t="shared" si="66"/>
        <v>0</v>
      </c>
      <c r="O138" s="20">
        <f t="shared" si="66"/>
        <v>0</v>
      </c>
      <c r="P138" s="20">
        <f t="shared" si="66"/>
        <v>0</v>
      </c>
      <c r="Q138" s="20">
        <f t="shared" si="66"/>
        <v>0</v>
      </c>
      <c r="R138" s="20">
        <f t="shared" si="66"/>
        <v>0</v>
      </c>
      <c r="S138" s="20">
        <f t="shared" si="66"/>
        <v>0</v>
      </c>
      <c r="T138" s="20">
        <f t="shared" si="66"/>
        <v>0</v>
      </c>
      <c r="U138" s="20">
        <f t="shared" si="66"/>
        <v>0</v>
      </c>
      <c r="V138" s="20">
        <f t="shared" si="66"/>
        <v>0</v>
      </c>
      <c r="W138" s="20">
        <f t="shared" si="66"/>
        <v>0</v>
      </c>
      <c r="X138" s="20">
        <f t="shared" si="66"/>
        <v>0</v>
      </c>
      <c r="Y138" s="20">
        <f t="shared" si="66"/>
        <v>0</v>
      </c>
      <c r="Z138" s="20">
        <f t="shared" si="66"/>
        <v>0</v>
      </c>
      <c r="AA138" s="20">
        <f t="shared" si="66"/>
        <v>0</v>
      </c>
      <c r="AB138" s="20">
        <f t="shared" si="66"/>
        <v>0</v>
      </c>
      <c r="AC138" s="20">
        <f t="shared" si="66"/>
        <v>0</v>
      </c>
      <c r="AD138" s="20">
        <f t="shared" ref="AD138:AM138" si="67">(MIN(MAX($D138,DATE(AD$47,1,1)),DATE(AD$47+1,1,1))-MIN(MAX($D137,DATE(AD$47,1,1)),DATE(AD$47+1,1,1)))</f>
        <v>0</v>
      </c>
      <c r="AE138" s="20">
        <f t="shared" si="67"/>
        <v>0</v>
      </c>
      <c r="AF138" s="20">
        <f t="shared" si="67"/>
        <v>0</v>
      </c>
      <c r="AG138" s="20">
        <f t="shared" si="67"/>
        <v>0</v>
      </c>
      <c r="AH138" s="20">
        <f t="shared" si="67"/>
        <v>0</v>
      </c>
      <c r="AI138" s="20">
        <f t="shared" si="67"/>
        <v>0</v>
      </c>
      <c r="AJ138" s="20">
        <f t="shared" si="67"/>
        <v>0</v>
      </c>
      <c r="AK138" s="20">
        <f t="shared" si="67"/>
        <v>0</v>
      </c>
      <c r="AL138" s="20">
        <f t="shared" si="67"/>
        <v>0</v>
      </c>
      <c r="AM138" s="20">
        <f t="shared" si="67"/>
        <v>0</v>
      </c>
    </row>
    <row r="139" spans="2:39" x14ac:dyDescent="0.2">
      <c r="B139" s="11"/>
      <c r="C139" s="51" t="s">
        <v>22</v>
      </c>
      <c r="D139" s="54">
        <f>D138-D137</f>
        <v>365</v>
      </c>
      <c r="E139" s="11"/>
      <c r="F139" s="48" t="s">
        <v>23</v>
      </c>
      <c r="G139" s="51" t="s">
        <v>52</v>
      </c>
      <c r="H139" s="51" t="str">
        <f ca="1">IFERROR(INDEX(CES_Short,MATCH(Parameters!G139,CES_Pick,0)),"")</f>
        <v>Medina Signal</v>
      </c>
      <c r="I139" s="11"/>
      <c r="J139" s="53">
        <f t="shared" ref="J139:AC139" si="68">$D133*J138/SUM($J138:$AC138)</f>
        <v>250000</v>
      </c>
      <c r="K139" s="53">
        <f t="shared" si="68"/>
        <v>0</v>
      </c>
      <c r="L139" s="53">
        <f t="shared" si="68"/>
        <v>0</v>
      </c>
      <c r="M139" s="53">
        <f t="shared" si="68"/>
        <v>0</v>
      </c>
      <c r="N139" s="53">
        <f t="shared" si="68"/>
        <v>0</v>
      </c>
      <c r="O139" s="53">
        <f t="shared" si="68"/>
        <v>0</v>
      </c>
      <c r="P139" s="53">
        <f t="shared" si="68"/>
        <v>0</v>
      </c>
      <c r="Q139" s="53">
        <f t="shared" si="68"/>
        <v>0</v>
      </c>
      <c r="R139" s="53">
        <f t="shared" si="68"/>
        <v>0</v>
      </c>
      <c r="S139" s="53">
        <f t="shared" si="68"/>
        <v>0</v>
      </c>
      <c r="T139" s="53">
        <f t="shared" si="68"/>
        <v>0</v>
      </c>
      <c r="U139" s="53">
        <f t="shared" si="68"/>
        <v>0</v>
      </c>
      <c r="V139" s="53">
        <f t="shared" si="68"/>
        <v>0</v>
      </c>
      <c r="W139" s="53">
        <f t="shared" si="68"/>
        <v>0</v>
      </c>
      <c r="X139" s="53">
        <f t="shared" si="68"/>
        <v>0</v>
      </c>
      <c r="Y139" s="53">
        <f t="shared" si="68"/>
        <v>0</v>
      </c>
      <c r="Z139" s="53">
        <f t="shared" si="68"/>
        <v>0</v>
      </c>
      <c r="AA139" s="53">
        <f t="shared" si="68"/>
        <v>0</v>
      </c>
      <c r="AB139" s="53">
        <f t="shared" si="68"/>
        <v>0</v>
      </c>
      <c r="AC139" s="53">
        <f t="shared" si="68"/>
        <v>0</v>
      </c>
      <c r="AD139" s="53">
        <f t="shared" ref="AD139:AM139" si="69">$D133*AD138/SUM($J138:$AC138)</f>
        <v>0</v>
      </c>
      <c r="AE139" s="53">
        <f t="shared" si="69"/>
        <v>0</v>
      </c>
      <c r="AF139" s="53">
        <f t="shared" si="69"/>
        <v>0</v>
      </c>
      <c r="AG139" s="53">
        <f t="shared" si="69"/>
        <v>0</v>
      </c>
      <c r="AH139" s="53">
        <f t="shared" si="69"/>
        <v>0</v>
      </c>
      <c r="AI139" s="53">
        <f t="shared" si="69"/>
        <v>0</v>
      </c>
      <c r="AJ139" s="53">
        <f t="shared" si="69"/>
        <v>0</v>
      </c>
      <c r="AK139" s="53">
        <f t="shared" si="69"/>
        <v>0</v>
      </c>
      <c r="AL139" s="53">
        <f t="shared" si="69"/>
        <v>0</v>
      </c>
      <c r="AM139" s="53">
        <f t="shared" si="69"/>
        <v>0</v>
      </c>
    </row>
    <row r="140" spans="2:39" x14ac:dyDescent="0.2">
      <c r="B140" s="11"/>
      <c r="C140" s="55" t="s">
        <v>25</v>
      </c>
      <c r="D140" s="19">
        <v>0.1</v>
      </c>
      <c r="E140" s="11"/>
      <c r="F140" s="56" t="s">
        <v>26</v>
      </c>
      <c r="G140" s="51" t="s">
        <v>27</v>
      </c>
      <c r="H140" s="51" t="str">
        <f ca="1">IFERROR(INDEX(CES_Short,MATCH(Parameters!G140,CES_Pick,0)),"")</f>
        <v>Mobilization</v>
      </c>
      <c r="I140" s="11"/>
      <c r="J140" s="57">
        <f t="shared" ref="J140:AC140" si="70">J139*$D140</f>
        <v>25000</v>
      </c>
      <c r="K140" s="57">
        <f t="shared" si="70"/>
        <v>0</v>
      </c>
      <c r="L140" s="57">
        <f t="shared" si="70"/>
        <v>0</v>
      </c>
      <c r="M140" s="57">
        <f t="shared" si="70"/>
        <v>0</v>
      </c>
      <c r="N140" s="57">
        <f t="shared" si="70"/>
        <v>0</v>
      </c>
      <c r="O140" s="57">
        <f t="shared" si="70"/>
        <v>0</v>
      </c>
      <c r="P140" s="57">
        <f t="shared" si="70"/>
        <v>0</v>
      </c>
      <c r="Q140" s="57">
        <f t="shared" si="70"/>
        <v>0</v>
      </c>
      <c r="R140" s="57">
        <f t="shared" si="70"/>
        <v>0</v>
      </c>
      <c r="S140" s="57">
        <f t="shared" si="70"/>
        <v>0</v>
      </c>
      <c r="T140" s="57">
        <f t="shared" si="70"/>
        <v>0</v>
      </c>
      <c r="U140" s="57">
        <f t="shared" si="70"/>
        <v>0</v>
      </c>
      <c r="V140" s="57">
        <f t="shared" si="70"/>
        <v>0</v>
      </c>
      <c r="W140" s="57">
        <f t="shared" si="70"/>
        <v>0</v>
      </c>
      <c r="X140" s="57">
        <f t="shared" si="70"/>
        <v>0</v>
      </c>
      <c r="Y140" s="57">
        <f t="shared" si="70"/>
        <v>0</v>
      </c>
      <c r="Z140" s="57">
        <f t="shared" si="70"/>
        <v>0</v>
      </c>
      <c r="AA140" s="57">
        <f t="shared" si="70"/>
        <v>0</v>
      </c>
      <c r="AB140" s="57">
        <f t="shared" si="70"/>
        <v>0</v>
      </c>
      <c r="AC140" s="57">
        <f t="shared" si="70"/>
        <v>0</v>
      </c>
      <c r="AD140" s="57">
        <f t="shared" ref="AD140:AM140" si="71">AD139*$D140</f>
        <v>0</v>
      </c>
      <c r="AE140" s="57">
        <f t="shared" si="71"/>
        <v>0</v>
      </c>
      <c r="AF140" s="57">
        <f t="shared" si="71"/>
        <v>0</v>
      </c>
      <c r="AG140" s="57">
        <f t="shared" si="71"/>
        <v>0</v>
      </c>
      <c r="AH140" s="57">
        <f t="shared" si="71"/>
        <v>0</v>
      </c>
      <c r="AI140" s="57">
        <f t="shared" si="71"/>
        <v>0</v>
      </c>
      <c r="AJ140" s="57">
        <f t="shared" si="71"/>
        <v>0</v>
      </c>
      <c r="AK140" s="57">
        <f t="shared" si="71"/>
        <v>0</v>
      </c>
      <c r="AL140" s="57">
        <f t="shared" si="71"/>
        <v>0</v>
      </c>
      <c r="AM140" s="57">
        <f t="shared" si="71"/>
        <v>0</v>
      </c>
    </row>
    <row r="141" spans="2:39" x14ac:dyDescent="0.2">
      <c r="B141" s="11"/>
      <c r="C141" s="55" t="s">
        <v>28</v>
      </c>
      <c r="D141" s="19">
        <v>0.35</v>
      </c>
      <c r="E141" s="11"/>
      <c r="F141" s="56" t="s">
        <v>29</v>
      </c>
      <c r="G141" s="51" t="s">
        <v>30</v>
      </c>
      <c r="H141" s="51" t="str">
        <f ca="1">IFERROR(INDEX(CES_Short,MATCH(Parameters!G141,CES_Pick,0)),"")</f>
        <v>Contingency</v>
      </c>
      <c r="I141" s="11"/>
      <c r="J141" s="57">
        <f t="shared" ref="J141:AC141" si="72">(J139+J140)*$D141</f>
        <v>96250</v>
      </c>
      <c r="K141" s="57">
        <f t="shared" si="72"/>
        <v>0</v>
      </c>
      <c r="L141" s="57">
        <f t="shared" si="72"/>
        <v>0</v>
      </c>
      <c r="M141" s="57">
        <f t="shared" si="72"/>
        <v>0</v>
      </c>
      <c r="N141" s="57">
        <f t="shared" si="72"/>
        <v>0</v>
      </c>
      <c r="O141" s="57">
        <f t="shared" si="72"/>
        <v>0</v>
      </c>
      <c r="P141" s="57">
        <f t="shared" si="72"/>
        <v>0</v>
      </c>
      <c r="Q141" s="57">
        <f t="shared" si="72"/>
        <v>0</v>
      </c>
      <c r="R141" s="57">
        <f t="shared" si="72"/>
        <v>0</v>
      </c>
      <c r="S141" s="57">
        <f t="shared" si="72"/>
        <v>0</v>
      </c>
      <c r="T141" s="57">
        <f t="shared" si="72"/>
        <v>0</v>
      </c>
      <c r="U141" s="57">
        <f t="shared" si="72"/>
        <v>0</v>
      </c>
      <c r="V141" s="57">
        <f t="shared" si="72"/>
        <v>0</v>
      </c>
      <c r="W141" s="57">
        <f t="shared" si="72"/>
        <v>0</v>
      </c>
      <c r="X141" s="57">
        <f t="shared" si="72"/>
        <v>0</v>
      </c>
      <c r="Y141" s="57">
        <f t="shared" si="72"/>
        <v>0</v>
      </c>
      <c r="Z141" s="57">
        <f t="shared" si="72"/>
        <v>0</v>
      </c>
      <c r="AA141" s="57">
        <f t="shared" si="72"/>
        <v>0</v>
      </c>
      <c r="AB141" s="57">
        <f t="shared" si="72"/>
        <v>0</v>
      </c>
      <c r="AC141" s="57">
        <f t="shared" si="72"/>
        <v>0</v>
      </c>
      <c r="AD141" s="57">
        <f t="shared" ref="AD141:AM141" si="73">(AD139+AD140)*$D141</f>
        <v>0</v>
      </c>
      <c r="AE141" s="57">
        <f t="shared" si="73"/>
        <v>0</v>
      </c>
      <c r="AF141" s="57">
        <f t="shared" si="73"/>
        <v>0</v>
      </c>
      <c r="AG141" s="57">
        <f t="shared" si="73"/>
        <v>0</v>
      </c>
      <c r="AH141" s="57">
        <f t="shared" si="73"/>
        <v>0</v>
      </c>
      <c r="AI141" s="57">
        <f t="shared" si="73"/>
        <v>0</v>
      </c>
      <c r="AJ141" s="57">
        <f t="shared" si="73"/>
        <v>0</v>
      </c>
      <c r="AK141" s="57">
        <f t="shared" si="73"/>
        <v>0</v>
      </c>
      <c r="AL141" s="57">
        <f t="shared" si="73"/>
        <v>0</v>
      </c>
      <c r="AM141" s="57">
        <f t="shared" si="73"/>
        <v>0</v>
      </c>
    </row>
    <row r="142" spans="2:39" ht="63.75" x14ac:dyDescent="0.2">
      <c r="B142" s="11"/>
      <c r="C142" s="51" t="s">
        <v>31</v>
      </c>
      <c r="D142" s="58" t="s">
        <v>32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spans="2:39" x14ac:dyDescent="0.2">
      <c r="B143" s="11"/>
      <c r="C143" s="11"/>
      <c r="D143" s="11"/>
      <c r="E143" s="11"/>
      <c r="F143" s="15" t="s">
        <v>139</v>
      </c>
      <c r="G143" s="15" t="s">
        <v>11</v>
      </c>
      <c r="H143" s="15" t="s">
        <v>12</v>
      </c>
      <c r="I143" s="11"/>
      <c r="J143" s="15">
        <f>Start_Year</f>
        <v>2015</v>
      </c>
      <c r="K143" s="15">
        <f t="shared" ref="K143:AM143" si="74">J143+1</f>
        <v>2016</v>
      </c>
      <c r="L143" s="15">
        <f t="shared" si="74"/>
        <v>2017</v>
      </c>
      <c r="M143" s="15">
        <f t="shared" si="74"/>
        <v>2018</v>
      </c>
      <c r="N143" s="15">
        <f t="shared" si="74"/>
        <v>2019</v>
      </c>
      <c r="O143" s="15">
        <f t="shared" si="74"/>
        <v>2020</v>
      </c>
      <c r="P143" s="15">
        <f t="shared" si="74"/>
        <v>2021</v>
      </c>
      <c r="Q143" s="15">
        <f t="shared" si="74"/>
        <v>2022</v>
      </c>
      <c r="R143" s="15">
        <f t="shared" si="74"/>
        <v>2023</v>
      </c>
      <c r="S143" s="15">
        <f t="shared" si="74"/>
        <v>2024</v>
      </c>
      <c r="T143" s="15">
        <f t="shared" si="74"/>
        <v>2025</v>
      </c>
      <c r="U143" s="15">
        <f t="shared" si="74"/>
        <v>2026</v>
      </c>
      <c r="V143" s="15">
        <f t="shared" si="74"/>
        <v>2027</v>
      </c>
      <c r="W143" s="15">
        <f t="shared" si="74"/>
        <v>2028</v>
      </c>
      <c r="X143" s="15">
        <f t="shared" si="74"/>
        <v>2029</v>
      </c>
      <c r="Y143" s="15">
        <f t="shared" si="74"/>
        <v>2030</v>
      </c>
      <c r="Z143" s="15">
        <f t="shared" si="74"/>
        <v>2031</v>
      </c>
      <c r="AA143" s="15">
        <f t="shared" si="74"/>
        <v>2032</v>
      </c>
      <c r="AB143" s="15">
        <f t="shared" si="74"/>
        <v>2033</v>
      </c>
      <c r="AC143" s="15">
        <f t="shared" si="74"/>
        <v>2034</v>
      </c>
      <c r="AD143" s="15">
        <f t="shared" si="74"/>
        <v>2035</v>
      </c>
      <c r="AE143" s="15">
        <f t="shared" si="74"/>
        <v>2036</v>
      </c>
      <c r="AF143" s="15">
        <f t="shared" si="74"/>
        <v>2037</v>
      </c>
      <c r="AG143" s="15">
        <f t="shared" si="74"/>
        <v>2038</v>
      </c>
      <c r="AH143" s="15">
        <f t="shared" si="74"/>
        <v>2039</v>
      </c>
      <c r="AI143" s="15">
        <f t="shared" si="74"/>
        <v>2040</v>
      </c>
      <c r="AJ143" s="15">
        <f t="shared" si="74"/>
        <v>2041</v>
      </c>
      <c r="AK143" s="15">
        <f t="shared" si="74"/>
        <v>2042</v>
      </c>
      <c r="AL143" s="15">
        <f t="shared" si="74"/>
        <v>2043</v>
      </c>
      <c r="AM143" s="15">
        <f t="shared" si="74"/>
        <v>2044</v>
      </c>
    </row>
    <row r="144" spans="2:39" x14ac:dyDescent="0.2">
      <c r="B144" s="10" t="s">
        <v>53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spans="2:39" x14ac:dyDescent="0.2">
      <c r="B145" s="11"/>
      <c r="C145" s="51" t="s">
        <v>14</v>
      </c>
      <c r="D145" s="53">
        <f>D146*D147</f>
        <v>250000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spans="2:39" x14ac:dyDescent="0.2">
      <c r="B146" s="11"/>
      <c r="C146" s="51" t="s">
        <v>34</v>
      </c>
      <c r="D146" s="16">
        <v>250000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spans="2:39" x14ac:dyDescent="0.2">
      <c r="B147" s="11"/>
      <c r="C147" s="51" t="s">
        <v>16</v>
      </c>
      <c r="D147" s="17">
        <v>1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spans="2:39" x14ac:dyDescent="0.2">
      <c r="B148" s="11"/>
      <c r="C148" s="51" t="s">
        <v>17</v>
      </c>
      <c r="D148" s="48" t="s">
        <v>47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spans="2:39" x14ac:dyDescent="0.2">
      <c r="B149" s="11"/>
      <c r="C149" s="51" t="s">
        <v>36</v>
      </c>
      <c r="D149" s="18">
        <v>42005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spans="2:39" x14ac:dyDescent="0.2">
      <c r="B150" s="11"/>
      <c r="C150" s="51" t="s">
        <v>37</v>
      </c>
      <c r="D150" s="18">
        <v>42370</v>
      </c>
      <c r="E150" s="11"/>
      <c r="F150" s="48" t="s">
        <v>21</v>
      </c>
      <c r="G150" s="51"/>
      <c r="H150" s="51"/>
      <c r="I150" s="11"/>
      <c r="J150" s="20">
        <f t="shared" ref="J150:AC150" si="75">(MIN(MAX($D150,DATE(J$47,1,1)),DATE(J$47+1,1,1))-MIN(MAX($D149,DATE(J$47,1,1)),DATE(J$47+1,1,1)))</f>
        <v>365</v>
      </c>
      <c r="K150" s="20">
        <f t="shared" si="75"/>
        <v>0</v>
      </c>
      <c r="L150" s="20">
        <f t="shared" si="75"/>
        <v>0</v>
      </c>
      <c r="M150" s="20">
        <f t="shared" si="75"/>
        <v>0</v>
      </c>
      <c r="N150" s="20">
        <f t="shared" si="75"/>
        <v>0</v>
      </c>
      <c r="O150" s="20">
        <f t="shared" si="75"/>
        <v>0</v>
      </c>
      <c r="P150" s="20">
        <f t="shared" si="75"/>
        <v>0</v>
      </c>
      <c r="Q150" s="20">
        <f t="shared" si="75"/>
        <v>0</v>
      </c>
      <c r="R150" s="20">
        <f t="shared" si="75"/>
        <v>0</v>
      </c>
      <c r="S150" s="20">
        <f t="shared" si="75"/>
        <v>0</v>
      </c>
      <c r="T150" s="20">
        <f t="shared" si="75"/>
        <v>0</v>
      </c>
      <c r="U150" s="20">
        <f t="shared" si="75"/>
        <v>0</v>
      </c>
      <c r="V150" s="20">
        <f t="shared" si="75"/>
        <v>0</v>
      </c>
      <c r="W150" s="20">
        <f t="shared" si="75"/>
        <v>0</v>
      </c>
      <c r="X150" s="20">
        <f t="shared" si="75"/>
        <v>0</v>
      </c>
      <c r="Y150" s="20">
        <f t="shared" si="75"/>
        <v>0</v>
      </c>
      <c r="Z150" s="20">
        <f t="shared" si="75"/>
        <v>0</v>
      </c>
      <c r="AA150" s="20">
        <f t="shared" si="75"/>
        <v>0</v>
      </c>
      <c r="AB150" s="20">
        <f t="shared" si="75"/>
        <v>0</v>
      </c>
      <c r="AC150" s="20">
        <f t="shared" si="75"/>
        <v>0</v>
      </c>
      <c r="AD150" s="20">
        <f t="shared" ref="AD150:AM150" si="76">(MIN(MAX($D150,DATE(AD$47,1,1)),DATE(AD$47+1,1,1))-MIN(MAX($D149,DATE(AD$47,1,1)),DATE(AD$47+1,1,1)))</f>
        <v>0</v>
      </c>
      <c r="AE150" s="20">
        <f t="shared" si="76"/>
        <v>0</v>
      </c>
      <c r="AF150" s="20">
        <f t="shared" si="76"/>
        <v>0</v>
      </c>
      <c r="AG150" s="20">
        <f t="shared" si="76"/>
        <v>0</v>
      </c>
      <c r="AH150" s="20">
        <f t="shared" si="76"/>
        <v>0</v>
      </c>
      <c r="AI150" s="20">
        <f t="shared" si="76"/>
        <v>0</v>
      </c>
      <c r="AJ150" s="20">
        <f t="shared" si="76"/>
        <v>0</v>
      </c>
      <c r="AK150" s="20">
        <f t="shared" si="76"/>
        <v>0</v>
      </c>
      <c r="AL150" s="20">
        <f t="shared" si="76"/>
        <v>0</v>
      </c>
      <c r="AM150" s="20">
        <f t="shared" si="76"/>
        <v>0</v>
      </c>
    </row>
    <row r="151" spans="2:39" x14ac:dyDescent="0.2">
      <c r="B151" s="11"/>
      <c r="C151" s="51" t="s">
        <v>22</v>
      </c>
      <c r="D151" s="54">
        <f>D150-D149</f>
        <v>365</v>
      </c>
      <c r="E151" s="11"/>
      <c r="F151" s="48" t="s">
        <v>23</v>
      </c>
      <c r="G151" s="51" t="s">
        <v>54</v>
      </c>
      <c r="H151" s="51" t="str">
        <f ca="1">IFERROR(INDEX(CES_Short,MATCH(Parameters!G151,CES_Pick,0)),"")</f>
        <v>Frio Signal</v>
      </c>
      <c r="I151" s="11"/>
      <c r="J151" s="53">
        <f t="shared" ref="J151:AC151" si="77">$D145*J150/SUM($J150:$AC150)</f>
        <v>250000</v>
      </c>
      <c r="K151" s="53">
        <f t="shared" si="77"/>
        <v>0</v>
      </c>
      <c r="L151" s="53">
        <f t="shared" si="77"/>
        <v>0</v>
      </c>
      <c r="M151" s="53">
        <f t="shared" si="77"/>
        <v>0</v>
      </c>
      <c r="N151" s="53">
        <f t="shared" si="77"/>
        <v>0</v>
      </c>
      <c r="O151" s="53">
        <f t="shared" si="77"/>
        <v>0</v>
      </c>
      <c r="P151" s="53">
        <f t="shared" si="77"/>
        <v>0</v>
      </c>
      <c r="Q151" s="53">
        <f t="shared" si="77"/>
        <v>0</v>
      </c>
      <c r="R151" s="53">
        <f t="shared" si="77"/>
        <v>0</v>
      </c>
      <c r="S151" s="53">
        <f t="shared" si="77"/>
        <v>0</v>
      </c>
      <c r="T151" s="53">
        <f t="shared" si="77"/>
        <v>0</v>
      </c>
      <c r="U151" s="53">
        <f t="shared" si="77"/>
        <v>0</v>
      </c>
      <c r="V151" s="53">
        <f t="shared" si="77"/>
        <v>0</v>
      </c>
      <c r="W151" s="53">
        <f t="shared" si="77"/>
        <v>0</v>
      </c>
      <c r="X151" s="53">
        <f t="shared" si="77"/>
        <v>0</v>
      </c>
      <c r="Y151" s="53">
        <f t="shared" si="77"/>
        <v>0</v>
      </c>
      <c r="Z151" s="53">
        <f t="shared" si="77"/>
        <v>0</v>
      </c>
      <c r="AA151" s="53">
        <f t="shared" si="77"/>
        <v>0</v>
      </c>
      <c r="AB151" s="53">
        <f t="shared" si="77"/>
        <v>0</v>
      </c>
      <c r="AC151" s="53">
        <f t="shared" si="77"/>
        <v>0</v>
      </c>
      <c r="AD151" s="53">
        <f t="shared" ref="AD151:AM151" si="78">$D145*AD150/SUM($J150:$AC150)</f>
        <v>0</v>
      </c>
      <c r="AE151" s="53">
        <f t="shared" si="78"/>
        <v>0</v>
      </c>
      <c r="AF151" s="53">
        <f t="shared" si="78"/>
        <v>0</v>
      </c>
      <c r="AG151" s="53">
        <f t="shared" si="78"/>
        <v>0</v>
      </c>
      <c r="AH151" s="53">
        <f t="shared" si="78"/>
        <v>0</v>
      </c>
      <c r="AI151" s="53">
        <f t="shared" si="78"/>
        <v>0</v>
      </c>
      <c r="AJ151" s="53">
        <f t="shared" si="78"/>
        <v>0</v>
      </c>
      <c r="AK151" s="53">
        <f t="shared" si="78"/>
        <v>0</v>
      </c>
      <c r="AL151" s="53">
        <f t="shared" si="78"/>
        <v>0</v>
      </c>
      <c r="AM151" s="53">
        <f t="shared" si="78"/>
        <v>0</v>
      </c>
    </row>
    <row r="152" spans="2:39" x14ac:dyDescent="0.2">
      <c r="B152" s="11"/>
      <c r="C152" s="55" t="s">
        <v>25</v>
      </c>
      <c r="D152" s="19">
        <v>0.1</v>
      </c>
      <c r="E152" s="11"/>
      <c r="F152" s="56" t="s">
        <v>26</v>
      </c>
      <c r="G152" s="51" t="s">
        <v>27</v>
      </c>
      <c r="H152" s="51" t="str">
        <f ca="1">IFERROR(INDEX(CES_Short,MATCH(Parameters!G152,CES_Pick,0)),"")</f>
        <v>Mobilization</v>
      </c>
      <c r="I152" s="11"/>
      <c r="J152" s="57">
        <f t="shared" ref="J152:AC152" si="79">J151*$D152</f>
        <v>25000</v>
      </c>
      <c r="K152" s="57">
        <f t="shared" si="79"/>
        <v>0</v>
      </c>
      <c r="L152" s="57">
        <f t="shared" si="79"/>
        <v>0</v>
      </c>
      <c r="M152" s="57">
        <f t="shared" si="79"/>
        <v>0</v>
      </c>
      <c r="N152" s="57">
        <f t="shared" si="79"/>
        <v>0</v>
      </c>
      <c r="O152" s="57">
        <f t="shared" si="79"/>
        <v>0</v>
      </c>
      <c r="P152" s="57">
        <f t="shared" si="79"/>
        <v>0</v>
      </c>
      <c r="Q152" s="57">
        <f t="shared" si="79"/>
        <v>0</v>
      </c>
      <c r="R152" s="57">
        <f t="shared" si="79"/>
        <v>0</v>
      </c>
      <c r="S152" s="57">
        <f t="shared" si="79"/>
        <v>0</v>
      </c>
      <c r="T152" s="57">
        <f t="shared" si="79"/>
        <v>0</v>
      </c>
      <c r="U152" s="57">
        <f t="shared" si="79"/>
        <v>0</v>
      </c>
      <c r="V152" s="57">
        <f t="shared" si="79"/>
        <v>0</v>
      </c>
      <c r="W152" s="57">
        <f t="shared" si="79"/>
        <v>0</v>
      </c>
      <c r="X152" s="57">
        <f t="shared" si="79"/>
        <v>0</v>
      </c>
      <c r="Y152" s="57">
        <f t="shared" si="79"/>
        <v>0</v>
      </c>
      <c r="Z152" s="57">
        <f t="shared" si="79"/>
        <v>0</v>
      </c>
      <c r="AA152" s="57">
        <f t="shared" si="79"/>
        <v>0</v>
      </c>
      <c r="AB152" s="57">
        <f t="shared" si="79"/>
        <v>0</v>
      </c>
      <c r="AC152" s="57">
        <f t="shared" si="79"/>
        <v>0</v>
      </c>
      <c r="AD152" s="57">
        <f t="shared" ref="AD152:AM152" si="80">AD151*$D152</f>
        <v>0</v>
      </c>
      <c r="AE152" s="57">
        <f t="shared" si="80"/>
        <v>0</v>
      </c>
      <c r="AF152" s="57">
        <f t="shared" si="80"/>
        <v>0</v>
      </c>
      <c r="AG152" s="57">
        <f t="shared" si="80"/>
        <v>0</v>
      </c>
      <c r="AH152" s="57">
        <f t="shared" si="80"/>
        <v>0</v>
      </c>
      <c r="AI152" s="57">
        <f t="shared" si="80"/>
        <v>0</v>
      </c>
      <c r="AJ152" s="57">
        <f t="shared" si="80"/>
        <v>0</v>
      </c>
      <c r="AK152" s="57">
        <f t="shared" si="80"/>
        <v>0</v>
      </c>
      <c r="AL152" s="57">
        <f t="shared" si="80"/>
        <v>0</v>
      </c>
      <c r="AM152" s="57">
        <f t="shared" si="80"/>
        <v>0</v>
      </c>
    </row>
    <row r="153" spans="2:39" x14ac:dyDescent="0.2">
      <c r="B153" s="11"/>
      <c r="C153" s="55" t="s">
        <v>28</v>
      </c>
      <c r="D153" s="19">
        <v>0.35</v>
      </c>
      <c r="E153" s="11"/>
      <c r="F153" s="56" t="s">
        <v>29</v>
      </c>
      <c r="G153" s="51" t="s">
        <v>30</v>
      </c>
      <c r="H153" s="51" t="str">
        <f ca="1">IFERROR(INDEX(CES_Short,MATCH(Parameters!G153,CES_Pick,0)),"")</f>
        <v>Contingency</v>
      </c>
      <c r="I153" s="11"/>
      <c r="J153" s="57">
        <f t="shared" ref="J153:AC153" si="81">(J151+J152)*$D153</f>
        <v>96250</v>
      </c>
      <c r="K153" s="57">
        <f t="shared" si="81"/>
        <v>0</v>
      </c>
      <c r="L153" s="57">
        <f t="shared" si="81"/>
        <v>0</v>
      </c>
      <c r="M153" s="57">
        <f t="shared" si="81"/>
        <v>0</v>
      </c>
      <c r="N153" s="57">
        <f t="shared" si="81"/>
        <v>0</v>
      </c>
      <c r="O153" s="57">
        <f t="shared" si="81"/>
        <v>0</v>
      </c>
      <c r="P153" s="57">
        <f t="shared" si="81"/>
        <v>0</v>
      </c>
      <c r="Q153" s="57">
        <f t="shared" si="81"/>
        <v>0</v>
      </c>
      <c r="R153" s="57">
        <f t="shared" si="81"/>
        <v>0</v>
      </c>
      <c r="S153" s="57">
        <f t="shared" si="81"/>
        <v>0</v>
      </c>
      <c r="T153" s="57">
        <f t="shared" si="81"/>
        <v>0</v>
      </c>
      <c r="U153" s="57">
        <f t="shared" si="81"/>
        <v>0</v>
      </c>
      <c r="V153" s="57">
        <f t="shared" si="81"/>
        <v>0</v>
      </c>
      <c r="W153" s="57">
        <f t="shared" si="81"/>
        <v>0</v>
      </c>
      <c r="X153" s="57">
        <f t="shared" si="81"/>
        <v>0</v>
      </c>
      <c r="Y153" s="57">
        <f t="shared" si="81"/>
        <v>0</v>
      </c>
      <c r="Z153" s="57">
        <f t="shared" si="81"/>
        <v>0</v>
      </c>
      <c r="AA153" s="57">
        <f t="shared" si="81"/>
        <v>0</v>
      </c>
      <c r="AB153" s="57">
        <f t="shared" si="81"/>
        <v>0</v>
      </c>
      <c r="AC153" s="57">
        <f t="shared" si="81"/>
        <v>0</v>
      </c>
      <c r="AD153" s="57">
        <f t="shared" ref="AD153:AM153" si="82">(AD151+AD152)*$D153</f>
        <v>0</v>
      </c>
      <c r="AE153" s="57">
        <f t="shared" si="82"/>
        <v>0</v>
      </c>
      <c r="AF153" s="57">
        <f t="shared" si="82"/>
        <v>0</v>
      </c>
      <c r="AG153" s="57">
        <f t="shared" si="82"/>
        <v>0</v>
      </c>
      <c r="AH153" s="57">
        <f t="shared" si="82"/>
        <v>0</v>
      </c>
      <c r="AI153" s="57">
        <f t="shared" si="82"/>
        <v>0</v>
      </c>
      <c r="AJ153" s="57">
        <f t="shared" si="82"/>
        <v>0</v>
      </c>
      <c r="AK153" s="57">
        <f t="shared" si="82"/>
        <v>0</v>
      </c>
      <c r="AL153" s="57">
        <f t="shared" si="82"/>
        <v>0</v>
      </c>
      <c r="AM153" s="57">
        <f t="shared" si="82"/>
        <v>0</v>
      </c>
    </row>
    <row r="154" spans="2:39" ht="63.75" x14ac:dyDescent="0.2">
      <c r="B154" s="11"/>
      <c r="C154" s="51" t="s">
        <v>31</v>
      </c>
      <c r="D154" s="58" t="s">
        <v>32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spans="2:39" x14ac:dyDescent="0.2">
      <c r="B155" s="11"/>
      <c r="C155" s="11"/>
      <c r="D155" s="11"/>
      <c r="E155" s="11"/>
      <c r="F155" s="15" t="s">
        <v>139</v>
      </c>
      <c r="G155" s="15" t="s">
        <v>11</v>
      </c>
      <c r="H155" s="15" t="s">
        <v>12</v>
      </c>
      <c r="I155" s="11"/>
      <c r="J155" s="15">
        <f>Start_Year</f>
        <v>2015</v>
      </c>
      <c r="K155" s="15">
        <f t="shared" ref="K155:AM155" si="83">J155+1</f>
        <v>2016</v>
      </c>
      <c r="L155" s="15">
        <f t="shared" si="83"/>
        <v>2017</v>
      </c>
      <c r="M155" s="15">
        <f t="shared" si="83"/>
        <v>2018</v>
      </c>
      <c r="N155" s="15">
        <f t="shared" si="83"/>
        <v>2019</v>
      </c>
      <c r="O155" s="15">
        <f t="shared" si="83"/>
        <v>2020</v>
      </c>
      <c r="P155" s="15">
        <f t="shared" si="83"/>
        <v>2021</v>
      </c>
      <c r="Q155" s="15">
        <f t="shared" si="83"/>
        <v>2022</v>
      </c>
      <c r="R155" s="15">
        <f t="shared" si="83"/>
        <v>2023</v>
      </c>
      <c r="S155" s="15">
        <f t="shared" si="83"/>
        <v>2024</v>
      </c>
      <c r="T155" s="15">
        <f t="shared" si="83"/>
        <v>2025</v>
      </c>
      <c r="U155" s="15">
        <f t="shared" si="83"/>
        <v>2026</v>
      </c>
      <c r="V155" s="15">
        <f t="shared" si="83"/>
        <v>2027</v>
      </c>
      <c r="W155" s="15">
        <f t="shared" si="83"/>
        <v>2028</v>
      </c>
      <c r="X155" s="15">
        <f t="shared" si="83"/>
        <v>2029</v>
      </c>
      <c r="Y155" s="15">
        <f t="shared" si="83"/>
        <v>2030</v>
      </c>
      <c r="Z155" s="15">
        <f t="shared" si="83"/>
        <v>2031</v>
      </c>
      <c r="AA155" s="15">
        <f t="shared" si="83"/>
        <v>2032</v>
      </c>
      <c r="AB155" s="15">
        <f t="shared" si="83"/>
        <v>2033</v>
      </c>
      <c r="AC155" s="15">
        <f t="shared" si="83"/>
        <v>2034</v>
      </c>
      <c r="AD155" s="15">
        <f t="shared" si="83"/>
        <v>2035</v>
      </c>
      <c r="AE155" s="15">
        <f t="shared" si="83"/>
        <v>2036</v>
      </c>
      <c r="AF155" s="15">
        <f t="shared" si="83"/>
        <v>2037</v>
      </c>
      <c r="AG155" s="15">
        <f t="shared" si="83"/>
        <v>2038</v>
      </c>
      <c r="AH155" s="15">
        <f t="shared" si="83"/>
        <v>2039</v>
      </c>
      <c r="AI155" s="15">
        <f t="shared" si="83"/>
        <v>2040</v>
      </c>
      <c r="AJ155" s="15">
        <f t="shared" si="83"/>
        <v>2041</v>
      </c>
      <c r="AK155" s="15">
        <f t="shared" si="83"/>
        <v>2042</v>
      </c>
      <c r="AL155" s="15">
        <f t="shared" si="83"/>
        <v>2043</v>
      </c>
      <c r="AM155" s="15">
        <f t="shared" si="83"/>
        <v>2044</v>
      </c>
    </row>
    <row r="156" spans="2:39" x14ac:dyDescent="0.2">
      <c r="B156" s="10" t="s">
        <v>55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spans="2:39" x14ac:dyDescent="0.2">
      <c r="B157" s="11"/>
      <c r="C157" s="51" t="s">
        <v>14</v>
      </c>
      <c r="D157" s="53">
        <f>D158*D159</f>
        <v>250000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spans="2:39" x14ac:dyDescent="0.2">
      <c r="B158" s="11"/>
      <c r="C158" s="51" t="s">
        <v>34</v>
      </c>
      <c r="D158" s="16">
        <v>250000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spans="2:39" x14ac:dyDescent="0.2">
      <c r="B159" s="11"/>
      <c r="C159" s="51" t="s">
        <v>16</v>
      </c>
      <c r="D159" s="17">
        <v>1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spans="2:39" x14ac:dyDescent="0.2">
      <c r="B160" s="11"/>
      <c r="C160" s="51" t="s">
        <v>17</v>
      </c>
      <c r="D160" s="48" t="s">
        <v>47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spans="2:39" x14ac:dyDescent="0.2">
      <c r="B161" s="11"/>
      <c r="C161" s="51" t="s">
        <v>36</v>
      </c>
      <c r="D161" s="18">
        <v>42005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spans="2:39" x14ac:dyDescent="0.2">
      <c r="B162" s="11"/>
      <c r="C162" s="51" t="s">
        <v>37</v>
      </c>
      <c r="D162" s="18">
        <v>42370</v>
      </c>
      <c r="E162" s="11"/>
      <c r="F162" s="48" t="s">
        <v>21</v>
      </c>
      <c r="G162" s="51"/>
      <c r="H162" s="51"/>
      <c r="I162" s="11"/>
      <c r="J162" s="20">
        <f t="shared" ref="J162:AC162" si="84">(MIN(MAX($D162,DATE(J$47,1,1)),DATE(J$47+1,1,1))-MIN(MAX($D161,DATE(J$47,1,1)),DATE(J$47+1,1,1)))</f>
        <v>365</v>
      </c>
      <c r="K162" s="20">
        <f t="shared" si="84"/>
        <v>0</v>
      </c>
      <c r="L162" s="20">
        <f t="shared" si="84"/>
        <v>0</v>
      </c>
      <c r="M162" s="20">
        <f t="shared" si="84"/>
        <v>0</v>
      </c>
      <c r="N162" s="20">
        <f t="shared" si="84"/>
        <v>0</v>
      </c>
      <c r="O162" s="20">
        <f t="shared" si="84"/>
        <v>0</v>
      </c>
      <c r="P162" s="20">
        <f t="shared" si="84"/>
        <v>0</v>
      </c>
      <c r="Q162" s="20">
        <f t="shared" si="84"/>
        <v>0</v>
      </c>
      <c r="R162" s="20">
        <f t="shared" si="84"/>
        <v>0</v>
      </c>
      <c r="S162" s="20">
        <f t="shared" si="84"/>
        <v>0</v>
      </c>
      <c r="T162" s="20">
        <f t="shared" si="84"/>
        <v>0</v>
      </c>
      <c r="U162" s="20">
        <f t="shared" si="84"/>
        <v>0</v>
      </c>
      <c r="V162" s="20">
        <f t="shared" si="84"/>
        <v>0</v>
      </c>
      <c r="W162" s="20">
        <f t="shared" si="84"/>
        <v>0</v>
      </c>
      <c r="X162" s="20">
        <f t="shared" si="84"/>
        <v>0</v>
      </c>
      <c r="Y162" s="20">
        <f t="shared" si="84"/>
        <v>0</v>
      </c>
      <c r="Z162" s="20">
        <f t="shared" si="84"/>
        <v>0</v>
      </c>
      <c r="AA162" s="20">
        <f t="shared" si="84"/>
        <v>0</v>
      </c>
      <c r="AB162" s="20">
        <f t="shared" si="84"/>
        <v>0</v>
      </c>
      <c r="AC162" s="20">
        <f t="shared" si="84"/>
        <v>0</v>
      </c>
      <c r="AD162" s="20">
        <f t="shared" ref="AD162:AM162" si="85">(MIN(MAX($D162,DATE(AD$47,1,1)),DATE(AD$47+1,1,1))-MIN(MAX($D161,DATE(AD$47,1,1)),DATE(AD$47+1,1,1)))</f>
        <v>0</v>
      </c>
      <c r="AE162" s="20">
        <f t="shared" si="85"/>
        <v>0</v>
      </c>
      <c r="AF162" s="20">
        <f t="shared" si="85"/>
        <v>0</v>
      </c>
      <c r="AG162" s="20">
        <f t="shared" si="85"/>
        <v>0</v>
      </c>
      <c r="AH162" s="20">
        <f t="shared" si="85"/>
        <v>0</v>
      </c>
      <c r="AI162" s="20">
        <f t="shared" si="85"/>
        <v>0</v>
      </c>
      <c r="AJ162" s="20">
        <f t="shared" si="85"/>
        <v>0</v>
      </c>
      <c r="AK162" s="20">
        <f t="shared" si="85"/>
        <v>0</v>
      </c>
      <c r="AL162" s="20">
        <f t="shared" si="85"/>
        <v>0</v>
      </c>
      <c r="AM162" s="20">
        <f t="shared" si="85"/>
        <v>0</v>
      </c>
    </row>
    <row r="163" spans="2:39" x14ac:dyDescent="0.2">
      <c r="B163" s="11"/>
      <c r="C163" s="51" t="s">
        <v>22</v>
      </c>
      <c r="D163" s="54">
        <f>D162-D161</f>
        <v>365</v>
      </c>
      <c r="E163" s="11"/>
      <c r="F163" s="48" t="s">
        <v>23</v>
      </c>
      <c r="G163" s="51" t="s">
        <v>56</v>
      </c>
      <c r="H163" s="51" t="str">
        <f ca="1">IFERROR(INDEX(CES_Short,MATCH(Parameters!G163,CES_Pick,0)),"")</f>
        <v>Manch Signal</v>
      </c>
      <c r="I163" s="11"/>
      <c r="J163" s="53">
        <f t="shared" ref="J163:AC163" si="86">$D157*J162/SUM($J162:$AC162)</f>
        <v>250000</v>
      </c>
      <c r="K163" s="53">
        <f t="shared" si="86"/>
        <v>0</v>
      </c>
      <c r="L163" s="53">
        <f t="shared" si="86"/>
        <v>0</v>
      </c>
      <c r="M163" s="53">
        <f t="shared" si="86"/>
        <v>0</v>
      </c>
      <c r="N163" s="53">
        <f t="shared" si="86"/>
        <v>0</v>
      </c>
      <c r="O163" s="53">
        <f t="shared" si="86"/>
        <v>0</v>
      </c>
      <c r="P163" s="53">
        <f t="shared" si="86"/>
        <v>0</v>
      </c>
      <c r="Q163" s="53">
        <f t="shared" si="86"/>
        <v>0</v>
      </c>
      <c r="R163" s="53">
        <f t="shared" si="86"/>
        <v>0</v>
      </c>
      <c r="S163" s="53">
        <f t="shared" si="86"/>
        <v>0</v>
      </c>
      <c r="T163" s="53">
        <f t="shared" si="86"/>
        <v>0</v>
      </c>
      <c r="U163" s="53">
        <f t="shared" si="86"/>
        <v>0</v>
      </c>
      <c r="V163" s="53">
        <f t="shared" si="86"/>
        <v>0</v>
      </c>
      <c r="W163" s="53">
        <f t="shared" si="86"/>
        <v>0</v>
      </c>
      <c r="X163" s="53">
        <f t="shared" si="86"/>
        <v>0</v>
      </c>
      <c r="Y163" s="53">
        <f t="shared" si="86"/>
        <v>0</v>
      </c>
      <c r="Z163" s="53">
        <f t="shared" si="86"/>
        <v>0</v>
      </c>
      <c r="AA163" s="53">
        <f t="shared" si="86"/>
        <v>0</v>
      </c>
      <c r="AB163" s="53">
        <f t="shared" si="86"/>
        <v>0</v>
      </c>
      <c r="AC163" s="53">
        <f t="shared" si="86"/>
        <v>0</v>
      </c>
      <c r="AD163" s="53">
        <f t="shared" ref="AD163:AM163" si="87">$D157*AD162/SUM($J162:$AC162)</f>
        <v>0</v>
      </c>
      <c r="AE163" s="53">
        <f t="shared" si="87"/>
        <v>0</v>
      </c>
      <c r="AF163" s="53">
        <f t="shared" si="87"/>
        <v>0</v>
      </c>
      <c r="AG163" s="53">
        <f t="shared" si="87"/>
        <v>0</v>
      </c>
      <c r="AH163" s="53">
        <f t="shared" si="87"/>
        <v>0</v>
      </c>
      <c r="AI163" s="53">
        <f t="shared" si="87"/>
        <v>0</v>
      </c>
      <c r="AJ163" s="53">
        <f t="shared" si="87"/>
        <v>0</v>
      </c>
      <c r="AK163" s="53">
        <f t="shared" si="87"/>
        <v>0</v>
      </c>
      <c r="AL163" s="53">
        <f t="shared" si="87"/>
        <v>0</v>
      </c>
      <c r="AM163" s="53">
        <f t="shared" si="87"/>
        <v>0</v>
      </c>
    </row>
    <row r="164" spans="2:39" x14ac:dyDescent="0.2">
      <c r="B164" s="11"/>
      <c r="C164" s="55" t="s">
        <v>25</v>
      </c>
      <c r="D164" s="19">
        <v>0.1</v>
      </c>
      <c r="E164" s="11"/>
      <c r="F164" s="56" t="s">
        <v>26</v>
      </c>
      <c r="G164" s="51" t="s">
        <v>27</v>
      </c>
      <c r="H164" s="51" t="str">
        <f ca="1">IFERROR(INDEX(CES_Short,MATCH(Parameters!G164,CES_Pick,0)),"")</f>
        <v>Mobilization</v>
      </c>
      <c r="I164" s="11"/>
      <c r="J164" s="57">
        <f t="shared" ref="J164:AC164" si="88">J163*$D164</f>
        <v>25000</v>
      </c>
      <c r="K164" s="57">
        <f t="shared" si="88"/>
        <v>0</v>
      </c>
      <c r="L164" s="57">
        <f t="shared" si="88"/>
        <v>0</v>
      </c>
      <c r="M164" s="57">
        <f t="shared" si="88"/>
        <v>0</v>
      </c>
      <c r="N164" s="57">
        <f t="shared" si="88"/>
        <v>0</v>
      </c>
      <c r="O164" s="57">
        <f t="shared" si="88"/>
        <v>0</v>
      </c>
      <c r="P164" s="57">
        <f t="shared" si="88"/>
        <v>0</v>
      </c>
      <c r="Q164" s="57">
        <f t="shared" si="88"/>
        <v>0</v>
      </c>
      <c r="R164" s="57">
        <f t="shared" si="88"/>
        <v>0</v>
      </c>
      <c r="S164" s="57">
        <f t="shared" si="88"/>
        <v>0</v>
      </c>
      <c r="T164" s="57">
        <f t="shared" si="88"/>
        <v>0</v>
      </c>
      <c r="U164" s="57">
        <f t="shared" si="88"/>
        <v>0</v>
      </c>
      <c r="V164" s="57">
        <f t="shared" si="88"/>
        <v>0</v>
      </c>
      <c r="W164" s="57">
        <f t="shared" si="88"/>
        <v>0</v>
      </c>
      <c r="X164" s="57">
        <f t="shared" si="88"/>
        <v>0</v>
      </c>
      <c r="Y164" s="57">
        <f t="shared" si="88"/>
        <v>0</v>
      </c>
      <c r="Z164" s="57">
        <f t="shared" si="88"/>
        <v>0</v>
      </c>
      <c r="AA164" s="57">
        <f t="shared" si="88"/>
        <v>0</v>
      </c>
      <c r="AB164" s="57">
        <f t="shared" si="88"/>
        <v>0</v>
      </c>
      <c r="AC164" s="57">
        <f t="shared" si="88"/>
        <v>0</v>
      </c>
      <c r="AD164" s="57">
        <f t="shared" ref="AD164:AM164" si="89">AD163*$D164</f>
        <v>0</v>
      </c>
      <c r="AE164" s="57">
        <f t="shared" si="89"/>
        <v>0</v>
      </c>
      <c r="AF164" s="57">
        <f t="shared" si="89"/>
        <v>0</v>
      </c>
      <c r="AG164" s="57">
        <f t="shared" si="89"/>
        <v>0</v>
      </c>
      <c r="AH164" s="57">
        <f t="shared" si="89"/>
        <v>0</v>
      </c>
      <c r="AI164" s="57">
        <f t="shared" si="89"/>
        <v>0</v>
      </c>
      <c r="AJ164" s="57">
        <f t="shared" si="89"/>
        <v>0</v>
      </c>
      <c r="AK164" s="57">
        <f t="shared" si="89"/>
        <v>0</v>
      </c>
      <c r="AL164" s="57">
        <f t="shared" si="89"/>
        <v>0</v>
      </c>
      <c r="AM164" s="57">
        <f t="shared" si="89"/>
        <v>0</v>
      </c>
    </row>
    <row r="165" spans="2:39" x14ac:dyDescent="0.2">
      <c r="B165" s="11"/>
      <c r="C165" s="55" t="s">
        <v>28</v>
      </c>
      <c r="D165" s="19">
        <v>0.35</v>
      </c>
      <c r="E165" s="11"/>
      <c r="F165" s="56" t="s">
        <v>29</v>
      </c>
      <c r="G165" s="51" t="s">
        <v>30</v>
      </c>
      <c r="H165" s="51" t="str">
        <f ca="1">IFERROR(INDEX(CES_Short,MATCH(Parameters!G165,CES_Pick,0)),"")</f>
        <v>Contingency</v>
      </c>
      <c r="I165" s="11"/>
      <c r="J165" s="57">
        <f t="shared" ref="J165:AC165" si="90">(J163+J164)*$D165</f>
        <v>96250</v>
      </c>
      <c r="K165" s="57">
        <f t="shared" si="90"/>
        <v>0</v>
      </c>
      <c r="L165" s="57">
        <f t="shared" si="90"/>
        <v>0</v>
      </c>
      <c r="M165" s="57">
        <f t="shared" si="90"/>
        <v>0</v>
      </c>
      <c r="N165" s="57">
        <f t="shared" si="90"/>
        <v>0</v>
      </c>
      <c r="O165" s="57">
        <f t="shared" si="90"/>
        <v>0</v>
      </c>
      <c r="P165" s="57">
        <f t="shared" si="90"/>
        <v>0</v>
      </c>
      <c r="Q165" s="57">
        <f t="shared" si="90"/>
        <v>0</v>
      </c>
      <c r="R165" s="57">
        <f t="shared" si="90"/>
        <v>0</v>
      </c>
      <c r="S165" s="57">
        <f t="shared" si="90"/>
        <v>0</v>
      </c>
      <c r="T165" s="57">
        <f t="shared" si="90"/>
        <v>0</v>
      </c>
      <c r="U165" s="57">
        <f t="shared" si="90"/>
        <v>0</v>
      </c>
      <c r="V165" s="57">
        <f t="shared" si="90"/>
        <v>0</v>
      </c>
      <c r="W165" s="57">
        <f t="shared" si="90"/>
        <v>0</v>
      </c>
      <c r="X165" s="57">
        <f t="shared" si="90"/>
        <v>0</v>
      </c>
      <c r="Y165" s="57">
        <f t="shared" si="90"/>
        <v>0</v>
      </c>
      <c r="Z165" s="57">
        <f t="shared" si="90"/>
        <v>0</v>
      </c>
      <c r="AA165" s="57">
        <f t="shared" si="90"/>
        <v>0</v>
      </c>
      <c r="AB165" s="57">
        <f t="shared" si="90"/>
        <v>0</v>
      </c>
      <c r="AC165" s="57">
        <f t="shared" si="90"/>
        <v>0</v>
      </c>
      <c r="AD165" s="57">
        <f t="shared" ref="AD165:AM165" si="91">(AD163+AD164)*$D165</f>
        <v>0</v>
      </c>
      <c r="AE165" s="57">
        <f t="shared" si="91"/>
        <v>0</v>
      </c>
      <c r="AF165" s="57">
        <f t="shared" si="91"/>
        <v>0</v>
      </c>
      <c r="AG165" s="57">
        <f t="shared" si="91"/>
        <v>0</v>
      </c>
      <c r="AH165" s="57">
        <f t="shared" si="91"/>
        <v>0</v>
      </c>
      <c r="AI165" s="57">
        <f t="shared" si="91"/>
        <v>0</v>
      </c>
      <c r="AJ165" s="57">
        <f t="shared" si="91"/>
        <v>0</v>
      </c>
      <c r="AK165" s="57">
        <f t="shared" si="91"/>
        <v>0</v>
      </c>
      <c r="AL165" s="57">
        <f t="shared" si="91"/>
        <v>0</v>
      </c>
      <c r="AM165" s="57">
        <f t="shared" si="91"/>
        <v>0</v>
      </c>
    </row>
    <row r="166" spans="2:39" ht="63.75" x14ac:dyDescent="0.2">
      <c r="B166" s="11"/>
      <c r="C166" s="51" t="s">
        <v>31</v>
      </c>
      <c r="D166" s="58" t="s">
        <v>32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spans="2:39" x14ac:dyDescent="0.2">
      <c r="B167" s="11"/>
      <c r="C167" s="11"/>
      <c r="D167" s="11"/>
      <c r="E167" s="11"/>
      <c r="F167" s="15" t="s">
        <v>139</v>
      </c>
      <c r="G167" s="15" t="s">
        <v>11</v>
      </c>
      <c r="H167" s="15" t="s">
        <v>12</v>
      </c>
      <c r="I167" s="11"/>
      <c r="J167" s="15">
        <f>Start_Year</f>
        <v>2015</v>
      </c>
      <c r="K167" s="15">
        <f t="shared" ref="K167:AM167" si="92">J167+1</f>
        <v>2016</v>
      </c>
      <c r="L167" s="15">
        <f t="shared" si="92"/>
        <v>2017</v>
      </c>
      <c r="M167" s="15">
        <f t="shared" si="92"/>
        <v>2018</v>
      </c>
      <c r="N167" s="15">
        <f t="shared" si="92"/>
        <v>2019</v>
      </c>
      <c r="O167" s="15">
        <f t="shared" si="92"/>
        <v>2020</v>
      </c>
      <c r="P167" s="15">
        <f t="shared" si="92"/>
        <v>2021</v>
      </c>
      <c r="Q167" s="15">
        <f t="shared" si="92"/>
        <v>2022</v>
      </c>
      <c r="R167" s="15">
        <f t="shared" si="92"/>
        <v>2023</v>
      </c>
      <c r="S167" s="15">
        <f t="shared" si="92"/>
        <v>2024</v>
      </c>
      <c r="T167" s="15">
        <f t="shared" si="92"/>
        <v>2025</v>
      </c>
      <c r="U167" s="15">
        <f t="shared" si="92"/>
        <v>2026</v>
      </c>
      <c r="V167" s="15">
        <f t="shared" si="92"/>
        <v>2027</v>
      </c>
      <c r="W167" s="15">
        <f t="shared" si="92"/>
        <v>2028</v>
      </c>
      <c r="X167" s="15">
        <f t="shared" si="92"/>
        <v>2029</v>
      </c>
      <c r="Y167" s="15">
        <f t="shared" si="92"/>
        <v>2030</v>
      </c>
      <c r="Z167" s="15">
        <f t="shared" si="92"/>
        <v>2031</v>
      </c>
      <c r="AA167" s="15">
        <f t="shared" si="92"/>
        <v>2032</v>
      </c>
      <c r="AB167" s="15">
        <f t="shared" si="92"/>
        <v>2033</v>
      </c>
      <c r="AC167" s="15">
        <f t="shared" si="92"/>
        <v>2034</v>
      </c>
      <c r="AD167" s="15">
        <f t="shared" si="92"/>
        <v>2035</v>
      </c>
      <c r="AE167" s="15">
        <f t="shared" si="92"/>
        <v>2036</v>
      </c>
      <c r="AF167" s="15">
        <f t="shared" si="92"/>
        <v>2037</v>
      </c>
      <c r="AG167" s="15">
        <f t="shared" si="92"/>
        <v>2038</v>
      </c>
      <c r="AH167" s="15">
        <f t="shared" si="92"/>
        <v>2039</v>
      </c>
      <c r="AI167" s="15">
        <f t="shared" si="92"/>
        <v>2040</v>
      </c>
      <c r="AJ167" s="15">
        <f t="shared" si="92"/>
        <v>2041</v>
      </c>
      <c r="AK167" s="15">
        <f t="shared" si="92"/>
        <v>2042</v>
      </c>
      <c r="AL167" s="15">
        <f t="shared" si="92"/>
        <v>2043</v>
      </c>
      <c r="AM167" s="15">
        <f t="shared" si="92"/>
        <v>2044</v>
      </c>
    </row>
    <row r="168" spans="2:39" x14ac:dyDescent="0.2">
      <c r="B168" s="10" t="s">
        <v>57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spans="2:39" x14ac:dyDescent="0.2">
      <c r="B169" s="11"/>
      <c r="C169" s="51" t="s">
        <v>14</v>
      </c>
      <c r="D169" s="53">
        <f>D170*D171</f>
        <v>50000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spans="2:39" x14ac:dyDescent="0.2">
      <c r="B170" s="11"/>
      <c r="C170" s="51" t="s">
        <v>34</v>
      </c>
      <c r="D170" s="16">
        <v>50000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spans="2:39" x14ac:dyDescent="0.2">
      <c r="B171" s="11"/>
      <c r="C171" s="51" t="s">
        <v>16</v>
      </c>
      <c r="D171" s="17">
        <v>1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spans="2:39" x14ac:dyDescent="0.2">
      <c r="B172" s="11"/>
      <c r="C172" s="51" t="s">
        <v>17</v>
      </c>
      <c r="D172" s="48" t="s">
        <v>47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spans="2:39" x14ac:dyDescent="0.2">
      <c r="B173" s="11"/>
      <c r="C173" s="51" t="s">
        <v>36</v>
      </c>
      <c r="D173" s="18">
        <v>42005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spans="2:39" x14ac:dyDescent="0.2">
      <c r="B174" s="11"/>
      <c r="C174" s="51" t="s">
        <v>37</v>
      </c>
      <c r="D174" s="18">
        <v>42370</v>
      </c>
      <c r="E174" s="11"/>
      <c r="F174" s="48" t="s">
        <v>21</v>
      </c>
      <c r="G174" s="51"/>
      <c r="H174" s="51"/>
      <c r="I174" s="11"/>
      <c r="J174" s="20">
        <f t="shared" ref="J174:AC174" si="93">(MIN(MAX($D174,DATE(J$47,1,1)),DATE(J$47+1,1,1))-MIN(MAX($D173,DATE(J$47,1,1)),DATE(J$47+1,1,1)))</f>
        <v>365</v>
      </c>
      <c r="K174" s="20">
        <f t="shared" si="93"/>
        <v>0</v>
      </c>
      <c r="L174" s="20">
        <f t="shared" si="93"/>
        <v>0</v>
      </c>
      <c r="M174" s="20">
        <f t="shared" si="93"/>
        <v>0</v>
      </c>
      <c r="N174" s="20">
        <f t="shared" si="93"/>
        <v>0</v>
      </c>
      <c r="O174" s="20">
        <f t="shared" si="93"/>
        <v>0</v>
      </c>
      <c r="P174" s="20">
        <f t="shared" si="93"/>
        <v>0</v>
      </c>
      <c r="Q174" s="20">
        <f t="shared" si="93"/>
        <v>0</v>
      </c>
      <c r="R174" s="20">
        <f t="shared" si="93"/>
        <v>0</v>
      </c>
      <c r="S174" s="20">
        <f t="shared" si="93"/>
        <v>0</v>
      </c>
      <c r="T174" s="20">
        <f t="shared" si="93"/>
        <v>0</v>
      </c>
      <c r="U174" s="20">
        <f t="shared" si="93"/>
        <v>0</v>
      </c>
      <c r="V174" s="20">
        <f t="shared" si="93"/>
        <v>0</v>
      </c>
      <c r="W174" s="20">
        <f t="shared" si="93"/>
        <v>0</v>
      </c>
      <c r="X174" s="20">
        <f t="shared" si="93"/>
        <v>0</v>
      </c>
      <c r="Y174" s="20">
        <f t="shared" si="93"/>
        <v>0</v>
      </c>
      <c r="Z174" s="20">
        <f t="shared" si="93"/>
        <v>0</v>
      </c>
      <c r="AA174" s="20">
        <f t="shared" si="93"/>
        <v>0</v>
      </c>
      <c r="AB174" s="20">
        <f t="shared" si="93"/>
        <v>0</v>
      </c>
      <c r="AC174" s="20">
        <f t="shared" si="93"/>
        <v>0</v>
      </c>
      <c r="AD174" s="20">
        <f t="shared" ref="AD174:AM174" si="94">(MIN(MAX($D174,DATE(AD$47,1,1)),DATE(AD$47+1,1,1))-MIN(MAX($D173,DATE(AD$47,1,1)),DATE(AD$47+1,1,1)))</f>
        <v>0</v>
      </c>
      <c r="AE174" s="20">
        <f t="shared" si="94"/>
        <v>0</v>
      </c>
      <c r="AF174" s="20">
        <f t="shared" si="94"/>
        <v>0</v>
      </c>
      <c r="AG174" s="20">
        <f t="shared" si="94"/>
        <v>0</v>
      </c>
      <c r="AH174" s="20">
        <f t="shared" si="94"/>
        <v>0</v>
      </c>
      <c r="AI174" s="20">
        <f t="shared" si="94"/>
        <v>0</v>
      </c>
      <c r="AJ174" s="20">
        <f t="shared" si="94"/>
        <v>0</v>
      </c>
      <c r="AK174" s="20">
        <f t="shared" si="94"/>
        <v>0</v>
      </c>
      <c r="AL174" s="20">
        <f t="shared" si="94"/>
        <v>0</v>
      </c>
      <c r="AM174" s="20">
        <f t="shared" si="94"/>
        <v>0</v>
      </c>
    </row>
    <row r="175" spans="2:39" x14ac:dyDescent="0.2">
      <c r="B175" s="11"/>
      <c r="C175" s="51" t="s">
        <v>22</v>
      </c>
      <c r="D175" s="54">
        <f>D174-D173</f>
        <v>365</v>
      </c>
      <c r="E175" s="11"/>
      <c r="F175" s="48" t="s">
        <v>23</v>
      </c>
      <c r="G175" s="51" t="s">
        <v>58</v>
      </c>
      <c r="H175" s="51" t="str">
        <f ca="1">IFERROR(INDEX(CES_Short,MATCH(Parameters!G175,CES_Pick,0)),"")</f>
        <v>Plant Signal</v>
      </c>
      <c r="I175" s="11"/>
      <c r="J175" s="53">
        <f t="shared" ref="J175:AC175" si="95">$D169*J174/SUM($J174:$AC174)</f>
        <v>50000</v>
      </c>
      <c r="K175" s="53">
        <f t="shared" si="95"/>
        <v>0</v>
      </c>
      <c r="L175" s="53">
        <f t="shared" si="95"/>
        <v>0</v>
      </c>
      <c r="M175" s="53">
        <f t="shared" si="95"/>
        <v>0</v>
      </c>
      <c r="N175" s="53">
        <f t="shared" si="95"/>
        <v>0</v>
      </c>
      <c r="O175" s="53">
        <f t="shared" si="95"/>
        <v>0</v>
      </c>
      <c r="P175" s="53">
        <f t="shared" si="95"/>
        <v>0</v>
      </c>
      <c r="Q175" s="53">
        <f t="shared" si="95"/>
        <v>0</v>
      </c>
      <c r="R175" s="53">
        <f t="shared" si="95"/>
        <v>0</v>
      </c>
      <c r="S175" s="53">
        <f t="shared" si="95"/>
        <v>0</v>
      </c>
      <c r="T175" s="53">
        <f t="shared" si="95"/>
        <v>0</v>
      </c>
      <c r="U175" s="53">
        <f t="shared" si="95"/>
        <v>0</v>
      </c>
      <c r="V175" s="53">
        <f t="shared" si="95"/>
        <v>0</v>
      </c>
      <c r="W175" s="53">
        <f t="shared" si="95"/>
        <v>0</v>
      </c>
      <c r="X175" s="53">
        <f t="shared" si="95"/>
        <v>0</v>
      </c>
      <c r="Y175" s="53">
        <f t="shared" si="95"/>
        <v>0</v>
      </c>
      <c r="Z175" s="53">
        <f t="shared" si="95"/>
        <v>0</v>
      </c>
      <c r="AA175" s="53">
        <f t="shared" si="95"/>
        <v>0</v>
      </c>
      <c r="AB175" s="53">
        <f t="shared" si="95"/>
        <v>0</v>
      </c>
      <c r="AC175" s="53">
        <f t="shared" si="95"/>
        <v>0</v>
      </c>
      <c r="AD175" s="53">
        <f t="shared" ref="AD175:AM175" si="96">$D169*AD174/SUM($J174:$AC174)</f>
        <v>0</v>
      </c>
      <c r="AE175" s="53">
        <f t="shared" si="96"/>
        <v>0</v>
      </c>
      <c r="AF175" s="53">
        <f t="shared" si="96"/>
        <v>0</v>
      </c>
      <c r="AG175" s="53">
        <f t="shared" si="96"/>
        <v>0</v>
      </c>
      <c r="AH175" s="53">
        <f t="shared" si="96"/>
        <v>0</v>
      </c>
      <c r="AI175" s="53">
        <f t="shared" si="96"/>
        <v>0</v>
      </c>
      <c r="AJ175" s="53">
        <f t="shared" si="96"/>
        <v>0</v>
      </c>
      <c r="AK175" s="53">
        <f t="shared" si="96"/>
        <v>0</v>
      </c>
      <c r="AL175" s="53">
        <f t="shared" si="96"/>
        <v>0</v>
      </c>
      <c r="AM175" s="53">
        <f t="shared" si="96"/>
        <v>0</v>
      </c>
    </row>
    <row r="176" spans="2:39" x14ac:dyDescent="0.2">
      <c r="B176" s="11"/>
      <c r="C176" s="55" t="s">
        <v>25</v>
      </c>
      <c r="D176" s="19">
        <v>0.1</v>
      </c>
      <c r="E176" s="11"/>
      <c r="F176" s="56" t="s">
        <v>26</v>
      </c>
      <c r="G176" s="51" t="s">
        <v>27</v>
      </c>
      <c r="H176" s="51" t="str">
        <f ca="1">IFERROR(INDEX(CES_Short,MATCH(Parameters!G176,CES_Pick,0)),"")</f>
        <v>Mobilization</v>
      </c>
      <c r="I176" s="11"/>
      <c r="J176" s="57">
        <f t="shared" ref="J176:AC176" si="97">J175*$D176</f>
        <v>5000</v>
      </c>
      <c r="K176" s="57">
        <f t="shared" si="97"/>
        <v>0</v>
      </c>
      <c r="L176" s="57">
        <f t="shared" si="97"/>
        <v>0</v>
      </c>
      <c r="M176" s="57">
        <f t="shared" si="97"/>
        <v>0</v>
      </c>
      <c r="N176" s="57">
        <f t="shared" si="97"/>
        <v>0</v>
      </c>
      <c r="O176" s="57">
        <f t="shared" si="97"/>
        <v>0</v>
      </c>
      <c r="P176" s="57">
        <f t="shared" si="97"/>
        <v>0</v>
      </c>
      <c r="Q176" s="57">
        <f t="shared" si="97"/>
        <v>0</v>
      </c>
      <c r="R176" s="57">
        <f t="shared" si="97"/>
        <v>0</v>
      </c>
      <c r="S176" s="57">
        <f t="shared" si="97"/>
        <v>0</v>
      </c>
      <c r="T176" s="57">
        <f t="shared" si="97"/>
        <v>0</v>
      </c>
      <c r="U176" s="57">
        <f t="shared" si="97"/>
        <v>0</v>
      </c>
      <c r="V176" s="57">
        <f t="shared" si="97"/>
        <v>0</v>
      </c>
      <c r="W176" s="57">
        <f t="shared" si="97"/>
        <v>0</v>
      </c>
      <c r="X176" s="57">
        <f t="shared" si="97"/>
        <v>0</v>
      </c>
      <c r="Y176" s="57">
        <f t="shared" si="97"/>
        <v>0</v>
      </c>
      <c r="Z176" s="57">
        <f t="shared" si="97"/>
        <v>0</v>
      </c>
      <c r="AA176" s="57">
        <f t="shared" si="97"/>
        <v>0</v>
      </c>
      <c r="AB176" s="57">
        <f t="shared" si="97"/>
        <v>0</v>
      </c>
      <c r="AC176" s="57">
        <f t="shared" si="97"/>
        <v>0</v>
      </c>
      <c r="AD176" s="57">
        <f t="shared" ref="AD176:AM176" si="98">AD175*$D176</f>
        <v>0</v>
      </c>
      <c r="AE176" s="57">
        <f t="shared" si="98"/>
        <v>0</v>
      </c>
      <c r="AF176" s="57">
        <f t="shared" si="98"/>
        <v>0</v>
      </c>
      <c r="AG176" s="57">
        <f t="shared" si="98"/>
        <v>0</v>
      </c>
      <c r="AH176" s="57">
        <f t="shared" si="98"/>
        <v>0</v>
      </c>
      <c r="AI176" s="57">
        <f t="shared" si="98"/>
        <v>0</v>
      </c>
      <c r="AJ176" s="57">
        <f t="shared" si="98"/>
        <v>0</v>
      </c>
      <c r="AK176" s="57">
        <f t="shared" si="98"/>
        <v>0</v>
      </c>
      <c r="AL176" s="57">
        <f t="shared" si="98"/>
        <v>0</v>
      </c>
      <c r="AM176" s="57">
        <f t="shared" si="98"/>
        <v>0</v>
      </c>
    </row>
    <row r="177" spans="2:39" x14ac:dyDescent="0.2">
      <c r="B177" s="11"/>
      <c r="C177" s="55" t="s">
        <v>28</v>
      </c>
      <c r="D177" s="19">
        <v>0.35</v>
      </c>
      <c r="E177" s="11"/>
      <c r="F177" s="56" t="s">
        <v>29</v>
      </c>
      <c r="G177" s="51" t="s">
        <v>30</v>
      </c>
      <c r="H177" s="51" t="str">
        <f ca="1">IFERROR(INDEX(CES_Short,MATCH(Parameters!G177,CES_Pick,0)),"")</f>
        <v>Contingency</v>
      </c>
      <c r="I177" s="11"/>
      <c r="J177" s="57">
        <f t="shared" ref="J177:AC177" si="99">(J175+J176)*$D177</f>
        <v>19250</v>
      </c>
      <c r="K177" s="57">
        <f t="shared" si="99"/>
        <v>0</v>
      </c>
      <c r="L177" s="57">
        <f t="shared" si="99"/>
        <v>0</v>
      </c>
      <c r="M177" s="57">
        <f t="shared" si="99"/>
        <v>0</v>
      </c>
      <c r="N177" s="57">
        <f t="shared" si="99"/>
        <v>0</v>
      </c>
      <c r="O177" s="57">
        <f t="shared" si="99"/>
        <v>0</v>
      </c>
      <c r="P177" s="57">
        <f t="shared" si="99"/>
        <v>0</v>
      </c>
      <c r="Q177" s="57">
        <f t="shared" si="99"/>
        <v>0</v>
      </c>
      <c r="R177" s="57">
        <f t="shared" si="99"/>
        <v>0</v>
      </c>
      <c r="S177" s="57">
        <f t="shared" si="99"/>
        <v>0</v>
      </c>
      <c r="T177" s="57">
        <f t="shared" si="99"/>
        <v>0</v>
      </c>
      <c r="U177" s="57">
        <f t="shared" si="99"/>
        <v>0</v>
      </c>
      <c r="V177" s="57">
        <f t="shared" si="99"/>
        <v>0</v>
      </c>
      <c r="W177" s="57">
        <f t="shared" si="99"/>
        <v>0</v>
      </c>
      <c r="X177" s="57">
        <f t="shared" si="99"/>
        <v>0</v>
      </c>
      <c r="Y177" s="57">
        <f t="shared" si="99"/>
        <v>0</v>
      </c>
      <c r="Z177" s="57">
        <f t="shared" si="99"/>
        <v>0</v>
      </c>
      <c r="AA177" s="57">
        <f t="shared" si="99"/>
        <v>0</v>
      </c>
      <c r="AB177" s="57">
        <f t="shared" si="99"/>
        <v>0</v>
      </c>
      <c r="AC177" s="57">
        <f t="shared" si="99"/>
        <v>0</v>
      </c>
      <c r="AD177" s="57">
        <f t="shared" ref="AD177:AM177" si="100">(AD175+AD176)*$D177</f>
        <v>0</v>
      </c>
      <c r="AE177" s="57">
        <f t="shared" si="100"/>
        <v>0</v>
      </c>
      <c r="AF177" s="57">
        <f t="shared" si="100"/>
        <v>0</v>
      </c>
      <c r="AG177" s="57">
        <f t="shared" si="100"/>
        <v>0</v>
      </c>
      <c r="AH177" s="57">
        <f t="shared" si="100"/>
        <v>0</v>
      </c>
      <c r="AI177" s="57">
        <f t="shared" si="100"/>
        <v>0</v>
      </c>
      <c r="AJ177" s="57">
        <f t="shared" si="100"/>
        <v>0</v>
      </c>
      <c r="AK177" s="57">
        <f t="shared" si="100"/>
        <v>0</v>
      </c>
      <c r="AL177" s="57">
        <f t="shared" si="100"/>
        <v>0</v>
      </c>
      <c r="AM177" s="57">
        <f t="shared" si="100"/>
        <v>0</v>
      </c>
    </row>
    <row r="178" spans="2:39" ht="63.75" x14ac:dyDescent="0.2">
      <c r="B178" s="11"/>
      <c r="C178" s="51" t="s">
        <v>31</v>
      </c>
      <c r="D178" s="58" t="s">
        <v>32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spans="2:39" x14ac:dyDescent="0.2">
      <c r="B179" s="11"/>
      <c r="C179" s="11"/>
      <c r="D179" s="11"/>
      <c r="E179" s="11"/>
      <c r="F179" s="15" t="s">
        <v>139</v>
      </c>
      <c r="G179" s="15" t="s">
        <v>11</v>
      </c>
      <c r="H179" s="15" t="s">
        <v>12</v>
      </c>
      <c r="I179" s="11"/>
      <c r="J179" s="15">
        <f>Start_Year</f>
        <v>2015</v>
      </c>
      <c r="K179" s="15">
        <f t="shared" ref="K179:AM179" si="101">J179+1</f>
        <v>2016</v>
      </c>
      <c r="L179" s="15">
        <f t="shared" si="101"/>
        <v>2017</v>
      </c>
      <c r="M179" s="15">
        <f t="shared" si="101"/>
        <v>2018</v>
      </c>
      <c r="N179" s="15">
        <f t="shared" si="101"/>
        <v>2019</v>
      </c>
      <c r="O179" s="15">
        <f t="shared" si="101"/>
        <v>2020</v>
      </c>
      <c r="P179" s="15">
        <f t="shared" si="101"/>
        <v>2021</v>
      </c>
      <c r="Q179" s="15">
        <f t="shared" si="101"/>
        <v>2022</v>
      </c>
      <c r="R179" s="15">
        <f t="shared" si="101"/>
        <v>2023</v>
      </c>
      <c r="S179" s="15">
        <f t="shared" si="101"/>
        <v>2024</v>
      </c>
      <c r="T179" s="15">
        <f t="shared" si="101"/>
        <v>2025</v>
      </c>
      <c r="U179" s="15">
        <f t="shared" si="101"/>
        <v>2026</v>
      </c>
      <c r="V179" s="15">
        <f t="shared" si="101"/>
        <v>2027</v>
      </c>
      <c r="W179" s="15">
        <f t="shared" si="101"/>
        <v>2028</v>
      </c>
      <c r="X179" s="15">
        <f t="shared" si="101"/>
        <v>2029</v>
      </c>
      <c r="Y179" s="15">
        <f t="shared" si="101"/>
        <v>2030</v>
      </c>
      <c r="Z179" s="15">
        <f t="shared" si="101"/>
        <v>2031</v>
      </c>
      <c r="AA179" s="15">
        <f t="shared" si="101"/>
        <v>2032</v>
      </c>
      <c r="AB179" s="15">
        <f t="shared" si="101"/>
        <v>2033</v>
      </c>
      <c r="AC179" s="15">
        <f t="shared" si="101"/>
        <v>2034</v>
      </c>
      <c r="AD179" s="15">
        <f t="shared" si="101"/>
        <v>2035</v>
      </c>
      <c r="AE179" s="15">
        <f t="shared" si="101"/>
        <v>2036</v>
      </c>
      <c r="AF179" s="15">
        <f t="shared" si="101"/>
        <v>2037</v>
      </c>
      <c r="AG179" s="15">
        <f t="shared" si="101"/>
        <v>2038</v>
      </c>
      <c r="AH179" s="15">
        <f t="shared" si="101"/>
        <v>2039</v>
      </c>
      <c r="AI179" s="15">
        <f t="shared" si="101"/>
        <v>2040</v>
      </c>
      <c r="AJ179" s="15">
        <f t="shared" si="101"/>
        <v>2041</v>
      </c>
      <c r="AK179" s="15">
        <f t="shared" si="101"/>
        <v>2042</v>
      </c>
      <c r="AL179" s="15">
        <f t="shared" si="101"/>
        <v>2043</v>
      </c>
      <c r="AM179" s="15">
        <f t="shared" si="101"/>
        <v>2044</v>
      </c>
    </row>
    <row r="180" spans="2:39" x14ac:dyDescent="0.2">
      <c r="B180" s="10" t="s">
        <v>59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spans="2:39" x14ac:dyDescent="0.2">
      <c r="B181" s="11"/>
      <c r="C181" s="51" t="s">
        <v>14</v>
      </c>
      <c r="D181" s="53">
        <f>D182*D183</f>
        <v>50000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spans="2:39" x14ac:dyDescent="0.2">
      <c r="B182" s="11"/>
      <c r="C182" s="51" t="s">
        <v>34</v>
      </c>
      <c r="D182" s="16">
        <v>50000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spans="2:39" x14ac:dyDescent="0.2">
      <c r="B183" s="11"/>
      <c r="C183" s="51" t="s">
        <v>16</v>
      </c>
      <c r="D183" s="17">
        <v>1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spans="2:39" x14ac:dyDescent="0.2">
      <c r="B184" s="11"/>
      <c r="C184" s="51" t="s">
        <v>17</v>
      </c>
      <c r="D184" s="48" t="s">
        <v>47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spans="2:39" x14ac:dyDescent="0.2">
      <c r="B185" s="11"/>
      <c r="C185" s="51" t="s">
        <v>36</v>
      </c>
      <c r="D185" s="18">
        <v>42005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spans="2:39" x14ac:dyDescent="0.2">
      <c r="B186" s="11"/>
      <c r="C186" s="51" t="s">
        <v>37</v>
      </c>
      <c r="D186" s="18">
        <v>42370</v>
      </c>
      <c r="E186" s="11"/>
      <c r="F186" s="48" t="s">
        <v>21</v>
      </c>
      <c r="G186" s="51"/>
      <c r="H186" s="51"/>
      <c r="I186" s="11"/>
      <c r="J186" s="20">
        <f t="shared" ref="J186:AC186" si="102">(MIN(MAX($D186,DATE(J$47,1,1)),DATE(J$47+1,1,1))-MIN(MAX($D185,DATE(J$47,1,1)),DATE(J$47+1,1,1)))</f>
        <v>365</v>
      </c>
      <c r="K186" s="20">
        <f t="shared" si="102"/>
        <v>0</v>
      </c>
      <c r="L186" s="20">
        <f t="shared" si="102"/>
        <v>0</v>
      </c>
      <c r="M186" s="20">
        <f t="shared" si="102"/>
        <v>0</v>
      </c>
      <c r="N186" s="20">
        <f t="shared" si="102"/>
        <v>0</v>
      </c>
      <c r="O186" s="20">
        <f t="shared" si="102"/>
        <v>0</v>
      </c>
      <c r="P186" s="20">
        <f t="shared" si="102"/>
        <v>0</v>
      </c>
      <c r="Q186" s="20">
        <f t="shared" si="102"/>
        <v>0</v>
      </c>
      <c r="R186" s="20">
        <f t="shared" si="102"/>
        <v>0</v>
      </c>
      <c r="S186" s="20">
        <f t="shared" si="102"/>
        <v>0</v>
      </c>
      <c r="T186" s="20">
        <f t="shared" si="102"/>
        <v>0</v>
      </c>
      <c r="U186" s="20">
        <f t="shared" si="102"/>
        <v>0</v>
      </c>
      <c r="V186" s="20">
        <f t="shared" si="102"/>
        <v>0</v>
      </c>
      <c r="W186" s="20">
        <f t="shared" si="102"/>
        <v>0</v>
      </c>
      <c r="X186" s="20">
        <f t="shared" si="102"/>
        <v>0</v>
      </c>
      <c r="Y186" s="20">
        <f t="shared" si="102"/>
        <v>0</v>
      </c>
      <c r="Z186" s="20">
        <f t="shared" si="102"/>
        <v>0</v>
      </c>
      <c r="AA186" s="20">
        <f t="shared" si="102"/>
        <v>0</v>
      </c>
      <c r="AB186" s="20">
        <f t="shared" si="102"/>
        <v>0</v>
      </c>
      <c r="AC186" s="20">
        <f t="shared" si="102"/>
        <v>0</v>
      </c>
      <c r="AD186" s="20">
        <f t="shared" ref="AD186:AM186" si="103">(MIN(MAX($D186,DATE(AD$47,1,1)),DATE(AD$47+1,1,1))-MIN(MAX($D185,DATE(AD$47,1,1)),DATE(AD$47+1,1,1)))</f>
        <v>0</v>
      </c>
      <c r="AE186" s="20">
        <f t="shared" si="103"/>
        <v>0</v>
      </c>
      <c r="AF186" s="20">
        <f t="shared" si="103"/>
        <v>0</v>
      </c>
      <c r="AG186" s="20">
        <f t="shared" si="103"/>
        <v>0</v>
      </c>
      <c r="AH186" s="20">
        <f t="shared" si="103"/>
        <v>0</v>
      </c>
      <c r="AI186" s="20">
        <f t="shared" si="103"/>
        <v>0</v>
      </c>
      <c r="AJ186" s="20">
        <f t="shared" si="103"/>
        <v>0</v>
      </c>
      <c r="AK186" s="20">
        <f t="shared" si="103"/>
        <v>0</v>
      </c>
      <c r="AL186" s="20">
        <f t="shared" si="103"/>
        <v>0</v>
      </c>
      <c r="AM186" s="20">
        <f t="shared" si="103"/>
        <v>0</v>
      </c>
    </row>
    <row r="187" spans="2:39" x14ac:dyDescent="0.2">
      <c r="B187" s="11"/>
      <c r="C187" s="51" t="s">
        <v>22</v>
      </c>
      <c r="D187" s="54">
        <f>D186-D185</f>
        <v>365</v>
      </c>
      <c r="E187" s="11"/>
      <c r="F187" s="48" t="s">
        <v>23</v>
      </c>
      <c r="G187" s="51" t="s">
        <v>60</v>
      </c>
      <c r="H187" s="51" t="str">
        <f ca="1">IFERROR(INDEX(CES_Short,MATCH(Parameters!G187,CES_Pick,0)),"")</f>
        <v>Cemetary Signal</v>
      </c>
      <c r="I187" s="11"/>
      <c r="J187" s="53">
        <f t="shared" ref="J187:AC187" si="104">$D181*J186/SUM($J186:$AC186)</f>
        <v>50000</v>
      </c>
      <c r="K187" s="53">
        <f t="shared" si="104"/>
        <v>0</v>
      </c>
      <c r="L187" s="53">
        <f t="shared" si="104"/>
        <v>0</v>
      </c>
      <c r="M187" s="53">
        <f t="shared" si="104"/>
        <v>0</v>
      </c>
      <c r="N187" s="53">
        <f t="shared" si="104"/>
        <v>0</v>
      </c>
      <c r="O187" s="53">
        <f t="shared" si="104"/>
        <v>0</v>
      </c>
      <c r="P187" s="53">
        <f t="shared" si="104"/>
        <v>0</v>
      </c>
      <c r="Q187" s="53">
        <f t="shared" si="104"/>
        <v>0</v>
      </c>
      <c r="R187" s="53">
        <f t="shared" si="104"/>
        <v>0</v>
      </c>
      <c r="S187" s="53">
        <f t="shared" si="104"/>
        <v>0</v>
      </c>
      <c r="T187" s="53">
        <f t="shared" si="104"/>
        <v>0</v>
      </c>
      <c r="U187" s="53">
        <f t="shared" si="104"/>
        <v>0</v>
      </c>
      <c r="V187" s="53">
        <f t="shared" si="104"/>
        <v>0</v>
      </c>
      <c r="W187" s="53">
        <f t="shared" si="104"/>
        <v>0</v>
      </c>
      <c r="X187" s="53">
        <f t="shared" si="104"/>
        <v>0</v>
      </c>
      <c r="Y187" s="53">
        <f t="shared" si="104"/>
        <v>0</v>
      </c>
      <c r="Z187" s="53">
        <f t="shared" si="104"/>
        <v>0</v>
      </c>
      <c r="AA187" s="53">
        <f t="shared" si="104"/>
        <v>0</v>
      </c>
      <c r="AB187" s="53">
        <f t="shared" si="104"/>
        <v>0</v>
      </c>
      <c r="AC187" s="53">
        <f t="shared" si="104"/>
        <v>0</v>
      </c>
      <c r="AD187" s="53">
        <f t="shared" ref="AD187:AM187" si="105">$D181*AD186/SUM($J186:$AC186)</f>
        <v>0</v>
      </c>
      <c r="AE187" s="53">
        <f t="shared" si="105"/>
        <v>0</v>
      </c>
      <c r="AF187" s="53">
        <f t="shared" si="105"/>
        <v>0</v>
      </c>
      <c r="AG187" s="53">
        <f t="shared" si="105"/>
        <v>0</v>
      </c>
      <c r="AH187" s="53">
        <f t="shared" si="105"/>
        <v>0</v>
      </c>
      <c r="AI187" s="53">
        <f t="shared" si="105"/>
        <v>0</v>
      </c>
      <c r="AJ187" s="53">
        <f t="shared" si="105"/>
        <v>0</v>
      </c>
      <c r="AK187" s="53">
        <f t="shared" si="105"/>
        <v>0</v>
      </c>
      <c r="AL187" s="53">
        <f t="shared" si="105"/>
        <v>0</v>
      </c>
      <c r="AM187" s="53">
        <f t="shared" si="105"/>
        <v>0</v>
      </c>
    </row>
    <row r="188" spans="2:39" x14ac:dyDescent="0.2">
      <c r="B188" s="11"/>
      <c r="C188" s="55" t="s">
        <v>25</v>
      </c>
      <c r="D188" s="19">
        <v>0.1</v>
      </c>
      <c r="E188" s="11"/>
      <c r="F188" s="56" t="s">
        <v>26</v>
      </c>
      <c r="G188" s="51" t="s">
        <v>27</v>
      </c>
      <c r="H188" s="51" t="str">
        <f ca="1">IFERROR(INDEX(CES_Short,MATCH(Parameters!G188,CES_Pick,0)),"")</f>
        <v>Mobilization</v>
      </c>
      <c r="I188" s="11"/>
      <c r="J188" s="57">
        <f t="shared" ref="J188:AC188" si="106">J187*$D188</f>
        <v>5000</v>
      </c>
      <c r="K188" s="57">
        <f t="shared" si="106"/>
        <v>0</v>
      </c>
      <c r="L188" s="57">
        <f t="shared" si="106"/>
        <v>0</v>
      </c>
      <c r="M188" s="57">
        <f t="shared" si="106"/>
        <v>0</v>
      </c>
      <c r="N188" s="57">
        <f t="shared" si="106"/>
        <v>0</v>
      </c>
      <c r="O188" s="57">
        <f t="shared" si="106"/>
        <v>0</v>
      </c>
      <c r="P188" s="57">
        <f t="shared" si="106"/>
        <v>0</v>
      </c>
      <c r="Q188" s="57">
        <f t="shared" si="106"/>
        <v>0</v>
      </c>
      <c r="R188" s="57">
        <f t="shared" si="106"/>
        <v>0</v>
      </c>
      <c r="S188" s="57">
        <f t="shared" si="106"/>
        <v>0</v>
      </c>
      <c r="T188" s="57">
        <f t="shared" si="106"/>
        <v>0</v>
      </c>
      <c r="U188" s="57">
        <f t="shared" si="106"/>
        <v>0</v>
      </c>
      <c r="V188" s="57">
        <f t="shared" si="106"/>
        <v>0</v>
      </c>
      <c r="W188" s="57">
        <f t="shared" si="106"/>
        <v>0</v>
      </c>
      <c r="X188" s="57">
        <f t="shared" si="106"/>
        <v>0</v>
      </c>
      <c r="Y188" s="57">
        <f t="shared" si="106"/>
        <v>0</v>
      </c>
      <c r="Z188" s="57">
        <f t="shared" si="106"/>
        <v>0</v>
      </c>
      <c r="AA188" s="57">
        <f t="shared" si="106"/>
        <v>0</v>
      </c>
      <c r="AB188" s="57">
        <f t="shared" si="106"/>
        <v>0</v>
      </c>
      <c r="AC188" s="57">
        <f t="shared" si="106"/>
        <v>0</v>
      </c>
      <c r="AD188" s="57">
        <f t="shared" ref="AD188:AM188" si="107">AD187*$D188</f>
        <v>0</v>
      </c>
      <c r="AE188" s="57">
        <f t="shared" si="107"/>
        <v>0</v>
      </c>
      <c r="AF188" s="57">
        <f t="shared" si="107"/>
        <v>0</v>
      </c>
      <c r="AG188" s="57">
        <f t="shared" si="107"/>
        <v>0</v>
      </c>
      <c r="AH188" s="57">
        <f t="shared" si="107"/>
        <v>0</v>
      </c>
      <c r="AI188" s="57">
        <f t="shared" si="107"/>
        <v>0</v>
      </c>
      <c r="AJ188" s="57">
        <f t="shared" si="107"/>
        <v>0</v>
      </c>
      <c r="AK188" s="57">
        <f t="shared" si="107"/>
        <v>0</v>
      </c>
      <c r="AL188" s="57">
        <f t="shared" si="107"/>
        <v>0</v>
      </c>
      <c r="AM188" s="57">
        <f t="shared" si="107"/>
        <v>0</v>
      </c>
    </row>
    <row r="189" spans="2:39" x14ac:dyDescent="0.2">
      <c r="B189" s="11"/>
      <c r="C189" s="55" t="s">
        <v>28</v>
      </c>
      <c r="D189" s="19">
        <v>0.35</v>
      </c>
      <c r="E189" s="11"/>
      <c r="F189" s="56" t="s">
        <v>29</v>
      </c>
      <c r="G189" s="51" t="s">
        <v>30</v>
      </c>
      <c r="H189" s="51" t="str">
        <f ca="1">IFERROR(INDEX(CES_Short,MATCH(Parameters!G189,CES_Pick,0)),"")</f>
        <v>Contingency</v>
      </c>
      <c r="I189" s="11"/>
      <c r="J189" s="57">
        <f t="shared" ref="J189:AC189" si="108">(J187+J188)*$D189</f>
        <v>19250</v>
      </c>
      <c r="K189" s="57">
        <f t="shared" si="108"/>
        <v>0</v>
      </c>
      <c r="L189" s="57">
        <f t="shared" si="108"/>
        <v>0</v>
      </c>
      <c r="M189" s="57">
        <f t="shared" si="108"/>
        <v>0</v>
      </c>
      <c r="N189" s="57">
        <f t="shared" si="108"/>
        <v>0</v>
      </c>
      <c r="O189" s="57">
        <f t="shared" si="108"/>
        <v>0</v>
      </c>
      <c r="P189" s="57">
        <f t="shared" si="108"/>
        <v>0</v>
      </c>
      <c r="Q189" s="57">
        <f t="shared" si="108"/>
        <v>0</v>
      </c>
      <c r="R189" s="57">
        <f t="shared" si="108"/>
        <v>0</v>
      </c>
      <c r="S189" s="57">
        <f t="shared" si="108"/>
        <v>0</v>
      </c>
      <c r="T189" s="57">
        <f t="shared" si="108"/>
        <v>0</v>
      </c>
      <c r="U189" s="57">
        <f t="shared" si="108"/>
        <v>0</v>
      </c>
      <c r="V189" s="57">
        <f t="shared" si="108"/>
        <v>0</v>
      </c>
      <c r="W189" s="57">
        <f t="shared" si="108"/>
        <v>0</v>
      </c>
      <c r="X189" s="57">
        <f t="shared" si="108"/>
        <v>0</v>
      </c>
      <c r="Y189" s="57">
        <f t="shared" si="108"/>
        <v>0</v>
      </c>
      <c r="Z189" s="57">
        <f t="shared" si="108"/>
        <v>0</v>
      </c>
      <c r="AA189" s="57">
        <f t="shared" si="108"/>
        <v>0</v>
      </c>
      <c r="AB189" s="57">
        <f t="shared" si="108"/>
        <v>0</v>
      </c>
      <c r="AC189" s="57">
        <f t="shared" si="108"/>
        <v>0</v>
      </c>
      <c r="AD189" s="57">
        <f t="shared" ref="AD189:AM189" si="109">(AD187+AD188)*$D189</f>
        <v>0</v>
      </c>
      <c r="AE189" s="57">
        <f t="shared" si="109"/>
        <v>0</v>
      </c>
      <c r="AF189" s="57">
        <f t="shared" si="109"/>
        <v>0</v>
      </c>
      <c r="AG189" s="57">
        <f t="shared" si="109"/>
        <v>0</v>
      </c>
      <c r="AH189" s="57">
        <f t="shared" si="109"/>
        <v>0</v>
      </c>
      <c r="AI189" s="57">
        <f t="shared" si="109"/>
        <v>0</v>
      </c>
      <c r="AJ189" s="57">
        <f t="shared" si="109"/>
        <v>0</v>
      </c>
      <c r="AK189" s="57">
        <f t="shared" si="109"/>
        <v>0</v>
      </c>
      <c r="AL189" s="57">
        <f t="shared" si="109"/>
        <v>0</v>
      </c>
      <c r="AM189" s="57">
        <f t="shared" si="109"/>
        <v>0</v>
      </c>
    </row>
    <row r="190" spans="2:39" ht="63.75" x14ac:dyDescent="0.2">
      <c r="B190" s="11"/>
      <c r="C190" s="51" t="s">
        <v>31</v>
      </c>
      <c r="D190" s="58" t="s">
        <v>32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spans="2:39" x14ac:dyDescent="0.2">
      <c r="B191" s="11"/>
      <c r="C191" s="11"/>
      <c r="D191" s="11"/>
      <c r="E191" s="11"/>
      <c r="F191" s="15" t="s">
        <v>139</v>
      </c>
      <c r="G191" s="15" t="s">
        <v>11</v>
      </c>
      <c r="H191" s="15" t="s">
        <v>12</v>
      </c>
      <c r="I191" s="11"/>
      <c r="J191" s="15">
        <f>Start_Year</f>
        <v>2015</v>
      </c>
      <c r="K191" s="15">
        <f t="shared" ref="K191:AM191" si="110">J191+1</f>
        <v>2016</v>
      </c>
      <c r="L191" s="15">
        <f t="shared" si="110"/>
        <v>2017</v>
      </c>
      <c r="M191" s="15">
        <f t="shared" si="110"/>
        <v>2018</v>
      </c>
      <c r="N191" s="15">
        <f t="shared" si="110"/>
        <v>2019</v>
      </c>
      <c r="O191" s="15">
        <f t="shared" si="110"/>
        <v>2020</v>
      </c>
      <c r="P191" s="15">
        <f t="shared" si="110"/>
        <v>2021</v>
      </c>
      <c r="Q191" s="15">
        <f t="shared" si="110"/>
        <v>2022</v>
      </c>
      <c r="R191" s="15">
        <f t="shared" si="110"/>
        <v>2023</v>
      </c>
      <c r="S191" s="15">
        <f t="shared" si="110"/>
        <v>2024</v>
      </c>
      <c r="T191" s="15">
        <f t="shared" si="110"/>
        <v>2025</v>
      </c>
      <c r="U191" s="15">
        <f t="shared" si="110"/>
        <v>2026</v>
      </c>
      <c r="V191" s="15">
        <f t="shared" si="110"/>
        <v>2027</v>
      </c>
      <c r="W191" s="15">
        <f t="shared" si="110"/>
        <v>2028</v>
      </c>
      <c r="X191" s="15">
        <f t="shared" si="110"/>
        <v>2029</v>
      </c>
      <c r="Y191" s="15">
        <f t="shared" si="110"/>
        <v>2030</v>
      </c>
      <c r="Z191" s="15">
        <f t="shared" si="110"/>
        <v>2031</v>
      </c>
      <c r="AA191" s="15">
        <f t="shared" si="110"/>
        <v>2032</v>
      </c>
      <c r="AB191" s="15">
        <f t="shared" si="110"/>
        <v>2033</v>
      </c>
      <c r="AC191" s="15">
        <f t="shared" si="110"/>
        <v>2034</v>
      </c>
      <c r="AD191" s="15">
        <f t="shared" si="110"/>
        <v>2035</v>
      </c>
      <c r="AE191" s="15">
        <f t="shared" si="110"/>
        <v>2036</v>
      </c>
      <c r="AF191" s="15">
        <f t="shared" si="110"/>
        <v>2037</v>
      </c>
      <c r="AG191" s="15">
        <f t="shared" si="110"/>
        <v>2038</v>
      </c>
      <c r="AH191" s="15">
        <f t="shared" si="110"/>
        <v>2039</v>
      </c>
      <c r="AI191" s="15">
        <f t="shared" si="110"/>
        <v>2040</v>
      </c>
      <c r="AJ191" s="15">
        <f t="shared" si="110"/>
        <v>2041</v>
      </c>
      <c r="AK191" s="15">
        <f t="shared" si="110"/>
        <v>2042</v>
      </c>
      <c r="AL191" s="15">
        <f t="shared" si="110"/>
        <v>2043</v>
      </c>
      <c r="AM191" s="15">
        <f t="shared" si="110"/>
        <v>2044</v>
      </c>
    </row>
    <row r="192" spans="2:39" x14ac:dyDescent="0.2">
      <c r="B192" s="10" t="s">
        <v>61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spans="2:39" x14ac:dyDescent="0.2">
      <c r="B193" s="11"/>
      <c r="C193" s="51" t="s">
        <v>14</v>
      </c>
      <c r="D193" s="53">
        <f>D194*D195</f>
        <v>3000000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</row>
    <row r="194" spans="2:39" x14ac:dyDescent="0.2">
      <c r="B194" s="11"/>
      <c r="C194" s="51" t="s">
        <v>34</v>
      </c>
      <c r="D194" s="16">
        <v>3000000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spans="2:39" x14ac:dyDescent="0.2">
      <c r="B195" s="11"/>
      <c r="C195" s="51" t="s">
        <v>16</v>
      </c>
      <c r="D195" s="17">
        <v>1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</row>
    <row r="196" spans="2:39" x14ac:dyDescent="0.2">
      <c r="B196" s="11"/>
      <c r="C196" s="51" t="s">
        <v>17</v>
      </c>
      <c r="D196" s="48" t="s">
        <v>62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spans="2:39" x14ac:dyDescent="0.2">
      <c r="B197" s="11"/>
      <c r="C197" s="51" t="s">
        <v>36</v>
      </c>
      <c r="D197" s="18">
        <v>42005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spans="2:39" x14ac:dyDescent="0.2">
      <c r="B198" s="11"/>
      <c r="C198" s="51" t="s">
        <v>37</v>
      </c>
      <c r="D198" s="18">
        <v>42370</v>
      </c>
      <c r="E198" s="11"/>
      <c r="F198" s="48" t="s">
        <v>21</v>
      </c>
      <c r="G198" s="51"/>
      <c r="H198" s="51"/>
      <c r="I198" s="11"/>
      <c r="J198" s="20">
        <f t="shared" ref="J198:AC198" si="111">(MIN(MAX($D198,DATE(J$47,1,1)),DATE(J$47+1,1,1))-MIN(MAX($D197,DATE(J$47,1,1)),DATE(J$47+1,1,1)))</f>
        <v>365</v>
      </c>
      <c r="K198" s="20">
        <f t="shared" si="111"/>
        <v>0</v>
      </c>
      <c r="L198" s="20">
        <f t="shared" si="111"/>
        <v>0</v>
      </c>
      <c r="M198" s="20">
        <f t="shared" si="111"/>
        <v>0</v>
      </c>
      <c r="N198" s="20">
        <f t="shared" si="111"/>
        <v>0</v>
      </c>
      <c r="O198" s="20">
        <f t="shared" si="111"/>
        <v>0</v>
      </c>
      <c r="P198" s="20">
        <f t="shared" si="111"/>
        <v>0</v>
      </c>
      <c r="Q198" s="20">
        <f t="shared" si="111"/>
        <v>0</v>
      </c>
      <c r="R198" s="20">
        <f t="shared" si="111"/>
        <v>0</v>
      </c>
      <c r="S198" s="20">
        <f t="shared" si="111"/>
        <v>0</v>
      </c>
      <c r="T198" s="20">
        <f t="shared" si="111"/>
        <v>0</v>
      </c>
      <c r="U198" s="20">
        <f t="shared" si="111"/>
        <v>0</v>
      </c>
      <c r="V198" s="20">
        <f t="shared" si="111"/>
        <v>0</v>
      </c>
      <c r="W198" s="20">
        <f t="shared" si="111"/>
        <v>0</v>
      </c>
      <c r="X198" s="20">
        <f t="shared" si="111"/>
        <v>0</v>
      </c>
      <c r="Y198" s="20">
        <f t="shared" si="111"/>
        <v>0</v>
      </c>
      <c r="Z198" s="20">
        <f t="shared" si="111"/>
        <v>0</v>
      </c>
      <c r="AA198" s="20">
        <f t="shared" si="111"/>
        <v>0</v>
      </c>
      <c r="AB198" s="20">
        <f t="shared" si="111"/>
        <v>0</v>
      </c>
      <c r="AC198" s="20">
        <f t="shared" si="111"/>
        <v>0</v>
      </c>
      <c r="AD198" s="20">
        <f t="shared" ref="AD198:AM198" si="112">(MIN(MAX($D198,DATE(AD$47,1,1)),DATE(AD$47+1,1,1))-MIN(MAX($D197,DATE(AD$47,1,1)),DATE(AD$47+1,1,1)))</f>
        <v>0</v>
      </c>
      <c r="AE198" s="20">
        <f t="shared" si="112"/>
        <v>0</v>
      </c>
      <c r="AF198" s="20">
        <f t="shared" si="112"/>
        <v>0</v>
      </c>
      <c r="AG198" s="20">
        <f t="shared" si="112"/>
        <v>0</v>
      </c>
      <c r="AH198" s="20">
        <f t="shared" si="112"/>
        <v>0</v>
      </c>
      <c r="AI198" s="20">
        <f t="shared" si="112"/>
        <v>0</v>
      </c>
      <c r="AJ198" s="20">
        <f t="shared" si="112"/>
        <v>0</v>
      </c>
      <c r="AK198" s="20">
        <f t="shared" si="112"/>
        <v>0</v>
      </c>
      <c r="AL198" s="20">
        <f t="shared" si="112"/>
        <v>0</v>
      </c>
      <c r="AM198" s="20">
        <f t="shared" si="112"/>
        <v>0</v>
      </c>
    </row>
    <row r="199" spans="2:39" x14ac:dyDescent="0.2">
      <c r="B199" s="11"/>
      <c r="C199" s="51" t="s">
        <v>22</v>
      </c>
      <c r="D199" s="54">
        <f>D198-D197</f>
        <v>365</v>
      </c>
      <c r="E199" s="11"/>
      <c r="F199" s="48" t="s">
        <v>23</v>
      </c>
      <c r="G199" s="51" t="s">
        <v>63</v>
      </c>
      <c r="H199" s="51" t="str">
        <f ca="1">IFERROR(INDEX(CES_Short,MATCH(Parameters!G199,CES_Pick,0)),"")</f>
        <v>Signal Work</v>
      </c>
      <c r="I199" s="11"/>
      <c r="J199" s="53">
        <f t="shared" ref="J199:AC199" si="113">$D193*J198/SUM($J198:$AC198)</f>
        <v>3000000</v>
      </c>
      <c r="K199" s="53">
        <f t="shared" si="113"/>
        <v>0</v>
      </c>
      <c r="L199" s="53">
        <f t="shared" si="113"/>
        <v>0</v>
      </c>
      <c r="M199" s="53">
        <f t="shared" si="113"/>
        <v>0</v>
      </c>
      <c r="N199" s="53">
        <f t="shared" si="113"/>
        <v>0</v>
      </c>
      <c r="O199" s="53">
        <f t="shared" si="113"/>
        <v>0</v>
      </c>
      <c r="P199" s="53">
        <f t="shared" si="113"/>
        <v>0</v>
      </c>
      <c r="Q199" s="53">
        <f t="shared" si="113"/>
        <v>0</v>
      </c>
      <c r="R199" s="53">
        <f t="shared" si="113"/>
        <v>0</v>
      </c>
      <c r="S199" s="53">
        <f t="shared" si="113"/>
        <v>0</v>
      </c>
      <c r="T199" s="53">
        <f t="shared" si="113"/>
        <v>0</v>
      </c>
      <c r="U199" s="53">
        <f t="shared" si="113"/>
        <v>0</v>
      </c>
      <c r="V199" s="53">
        <f t="shared" si="113"/>
        <v>0</v>
      </c>
      <c r="W199" s="53">
        <f t="shared" si="113"/>
        <v>0</v>
      </c>
      <c r="X199" s="53">
        <f t="shared" si="113"/>
        <v>0</v>
      </c>
      <c r="Y199" s="53">
        <f t="shared" si="113"/>
        <v>0</v>
      </c>
      <c r="Z199" s="53">
        <f t="shared" si="113"/>
        <v>0</v>
      </c>
      <c r="AA199" s="53">
        <f t="shared" si="113"/>
        <v>0</v>
      </c>
      <c r="AB199" s="53">
        <f t="shared" si="113"/>
        <v>0</v>
      </c>
      <c r="AC199" s="53">
        <f t="shared" si="113"/>
        <v>0</v>
      </c>
      <c r="AD199" s="53">
        <f t="shared" ref="AD199:AM199" si="114">$D193*AD198/SUM($J198:$AC198)</f>
        <v>0</v>
      </c>
      <c r="AE199" s="53">
        <f t="shared" si="114"/>
        <v>0</v>
      </c>
      <c r="AF199" s="53">
        <f t="shared" si="114"/>
        <v>0</v>
      </c>
      <c r="AG199" s="53">
        <f t="shared" si="114"/>
        <v>0</v>
      </c>
      <c r="AH199" s="53">
        <f t="shared" si="114"/>
        <v>0</v>
      </c>
      <c r="AI199" s="53">
        <f t="shared" si="114"/>
        <v>0</v>
      </c>
      <c r="AJ199" s="53">
        <f t="shared" si="114"/>
        <v>0</v>
      </c>
      <c r="AK199" s="53">
        <f t="shared" si="114"/>
        <v>0</v>
      </c>
      <c r="AL199" s="53">
        <f t="shared" si="114"/>
        <v>0</v>
      </c>
      <c r="AM199" s="53">
        <f t="shared" si="114"/>
        <v>0</v>
      </c>
    </row>
    <row r="200" spans="2:39" x14ac:dyDescent="0.2">
      <c r="B200" s="11"/>
      <c r="C200" s="55" t="s">
        <v>25</v>
      </c>
      <c r="D200" s="19">
        <v>0.1</v>
      </c>
      <c r="E200" s="11"/>
      <c r="F200" s="56" t="s">
        <v>26</v>
      </c>
      <c r="G200" s="51" t="s">
        <v>27</v>
      </c>
      <c r="H200" s="51" t="str">
        <f ca="1">IFERROR(INDEX(CES_Short,MATCH(Parameters!G200,CES_Pick,0)),"")</f>
        <v>Mobilization</v>
      </c>
      <c r="I200" s="11"/>
      <c r="J200" s="57">
        <f t="shared" ref="J200:AC200" si="115">J199*$D200</f>
        <v>300000</v>
      </c>
      <c r="K200" s="57">
        <f t="shared" si="115"/>
        <v>0</v>
      </c>
      <c r="L200" s="57">
        <f t="shared" si="115"/>
        <v>0</v>
      </c>
      <c r="M200" s="57">
        <f t="shared" si="115"/>
        <v>0</v>
      </c>
      <c r="N200" s="57">
        <f t="shared" si="115"/>
        <v>0</v>
      </c>
      <c r="O200" s="57">
        <f t="shared" si="115"/>
        <v>0</v>
      </c>
      <c r="P200" s="57">
        <f t="shared" si="115"/>
        <v>0</v>
      </c>
      <c r="Q200" s="57">
        <f t="shared" si="115"/>
        <v>0</v>
      </c>
      <c r="R200" s="57">
        <f t="shared" si="115"/>
        <v>0</v>
      </c>
      <c r="S200" s="57">
        <f t="shared" si="115"/>
        <v>0</v>
      </c>
      <c r="T200" s="57">
        <f t="shared" si="115"/>
        <v>0</v>
      </c>
      <c r="U200" s="57">
        <f t="shared" si="115"/>
        <v>0</v>
      </c>
      <c r="V200" s="57">
        <f t="shared" si="115"/>
        <v>0</v>
      </c>
      <c r="W200" s="57">
        <f t="shared" si="115"/>
        <v>0</v>
      </c>
      <c r="X200" s="57">
        <f t="shared" si="115"/>
        <v>0</v>
      </c>
      <c r="Y200" s="57">
        <f t="shared" si="115"/>
        <v>0</v>
      </c>
      <c r="Z200" s="57">
        <f t="shared" si="115"/>
        <v>0</v>
      </c>
      <c r="AA200" s="57">
        <f t="shared" si="115"/>
        <v>0</v>
      </c>
      <c r="AB200" s="57">
        <f t="shared" si="115"/>
        <v>0</v>
      </c>
      <c r="AC200" s="57">
        <f t="shared" si="115"/>
        <v>0</v>
      </c>
      <c r="AD200" s="57">
        <f t="shared" ref="AD200:AM200" si="116">AD199*$D200</f>
        <v>0</v>
      </c>
      <c r="AE200" s="57">
        <f t="shared" si="116"/>
        <v>0</v>
      </c>
      <c r="AF200" s="57">
        <f t="shared" si="116"/>
        <v>0</v>
      </c>
      <c r="AG200" s="57">
        <f t="shared" si="116"/>
        <v>0</v>
      </c>
      <c r="AH200" s="57">
        <f t="shared" si="116"/>
        <v>0</v>
      </c>
      <c r="AI200" s="57">
        <f t="shared" si="116"/>
        <v>0</v>
      </c>
      <c r="AJ200" s="57">
        <f t="shared" si="116"/>
        <v>0</v>
      </c>
      <c r="AK200" s="57">
        <f t="shared" si="116"/>
        <v>0</v>
      </c>
      <c r="AL200" s="57">
        <f t="shared" si="116"/>
        <v>0</v>
      </c>
      <c r="AM200" s="57">
        <f t="shared" si="116"/>
        <v>0</v>
      </c>
    </row>
    <row r="201" spans="2:39" x14ac:dyDescent="0.2">
      <c r="B201" s="11"/>
      <c r="C201" s="55" t="s">
        <v>28</v>
      </c>
      <c r="D201" s="19">
        <v>0.35</v>
      </c>
      <c r="E201" s="11"/>
      <c r="F201" s="56" t="s">
        <v>29</v>
      </c>
      <c r="G201" s="51" t="s">
        <v>30</v>
      </c>
      <c r="H201" s="51" t="str">
        <f ca="1">IFERROR(INDEX(CES_Short,MATCH(Parameters!G201,CES_Pick,0)),"")</f>
        <v>Contingency</v>
      </c>
      <c r="I201" s="11"/>
      <c r="J201" s="57">
        <f t="shared" ref="J201:AC201" si="117">(J199+J200)*$D201</f>
        <v>1155000</v>
      </c>
      <c r="K201" s="57">
        <f t="shared" si="117"/>
        <v>0</v>
      </c>
      <c r="L201" s="57">
        <f t="shared" si="117"/>
        <v>0</v>
      </c>
      <c r="M201" s="57">
        <f t="shared" si="117"/>
        <v>0</v>
      </c>
      <c r="N201" s="57">
        <f t="shared" si="117"/>
        <v>0</v>
      </c>
      <c r="O201" s="57">
        <f t="shared" si="117"/>
        <v>0</v>
      </c>
      <c r="P201" s="57">
        <f t="shared" si="117"/>
        <v>0</v>
      </c>
      <c r="Q201" s="57">
        <f t="shared" si="117"/>
        <v>0</v>
      </c>
      <c r="R201" s="57">
        <f t="shared" si="117"/>
        <v>0</v>
      </c>
      <c r="S201" s="57">
        <f t="shared" si="117"/>
        <v>0</v>
      </c>
      <c r="T201" s="57">
        <f t="shared" si="117"/>
        <v>0</v>
      </c>
      <c r="U201" s="57">
        <f t="shared" si="117"/>
        <v>0</v>
      </c>
      <c r="V201" s="57">
        <f t="shared" si="117"/>
        <v>0</v>
      </c>
      <c r="W201" s="57">
        <f t="shared" si="117"/>
        <v>0</v>
      </c>
      <c r="X201" s="57">
        <f t="shared" si="117"/>
        <v>0</v>
      </c>
      <c r="Y201" s="57">
        <f t="shared" si="117"/>
        <v>0</v>
      </c>
      <c r="Z201" s="57">
        <f t="shared" si="117"/>
        <v>0</v>
      </c>
      <c r="AA201" s="57">
        <f t="shared" si="117"/>
        <v>0</v>
      </c>
      <c r="AB201" s="57">
        <f t="shared" si="117"/>
        <v>0</v>
      </c>
      <c r="AC201" s="57">
        <f t="shared" si="117"/>
        <v>0</v>
      </c>
      <c r="AD201" s="57">
        <f t="shared" ref="AD201:AM201" si="118">(AD199+AD200)*$D201</f>
        <v>0</v>
      </c>
      <c r="AE201" s="57">
        <f t="shared" si="118"/>
        <v>0</v>
      </c>
      <c r="AF201" s="57">
        <f t="shared" si="118"/>
        <v>0</v>
      </c>
      <c r="AG201" s="57">
        <f t="shared" si="118"/>
        <v>0</v>
      </c>
      <c r="AH201" s="57">
        <f t="shared" si="118"/>
        <v>0</v>
      </c>
      <c r="AI201" s="57">
        <f t="shared" si="118"/>
        <v>0</v>
      </c>
      <c r="AJ201" s="57">
        <f t="shared" si="118"/>
        <v>0</v>
      </c>
      <c r="AK201" s="57">
        <f t="shared" si="118"/>
        <v>0</v>
      </c>
      <c r="AL201" s="57">
        <f t="shared" si="118"/>
        <v>0</v>
      </c>
      <c r="AM201" s="57">
        <f t="shared" si="118"/>
        <v>0</v>
      </c>
    </row>
    <row r="202" spans="2:39" ht="63.75" x14ac:dyDescent="0.2">
      <c r="B202" s="11"/>
      <c r="C202" s="51" t="s">
        <v>31</v>
      </c>
      <c r="D202" s="58" t="s">
        <v>32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</row>
    <row r="203" spans="2:39" x14ac:dyDescent="0.2">
      <c r="B203" s="11"/>
      <c r="C203" s="11"/>
      <c r="D203" s="11"/>
      <c r="E203" s="11"/>
      <c r="F203" s="15" t="s">
        <v>139</v>
      </c>
      <c r="G203" s="15" t="s">
        <v>11</v>
      </c>
      <c r="H203" s="15" t="s">
        <v>12</v>
      </c>
      <c r="I203" s="11"/>
      <c r="J203" s="15">
        <f>Start_Year</f>
        <v>2015</v>
      </c>
      <c r="K203" s="15">
        <f t="shared" ref="K203:AM203" si="119">J203+1</f>
        <v>2016</v>
      </c>
      <c r="L203" s="15">
        <f t="shared" si="119"/>
        <v>2017</v>
      </c>
      <c r="M203" s="15">
        <f t="shared" si="119"/>
        <v>2018</v>
      </c>
      <c r="N203" s="15">
        <f t="shared" si="119"/>
        <v>2019</v>
      </c>
      <c r="O203" s="15">
        <f t="shared" si="119"/>
        <v>2020</v>
      </c>
      <c r="P203" s="15">
        <f t="shared" si="119"/>
        <v>2021</v>
      </c>
      <c r="Q203" s="15">
        <f t="shared" si="119"/>
        <v>2022</v>
      </c>
      <c r="R203" s="15">
        <f t="shared" si="119"/>
        <v>2023</v>
      </c>
      <c r="S203" s="15">
        <f t="shared" si="119"/>
        <v>2024</v>
      </c>
      <c r="T203" s="15">
        <f t="shared" si="119"/>
        <v>2025</v>
      </c>
      <c r="U203" s="15">
        <f t="shared" si="119"/>
        <v>2026</v>
      </c>
      <c r="V203" s="15">
        <f t="shared" si="119"/>
        <v>2027</v>
      </c>
      <c r="W203" s="15">
        <f t="shared" si="119"/>
        <v>2028</v>
      </c>
      <c r="X203" s="15">
        <f t="shared" si="119"/>
        <v>2029</v>
      </c>
      <c r="Y203" s="15">
        <f t="shared" si="119"/>
        <v>2030</v>
      </c>
      <c r="Z203" s="15">
        <f t="shared" si="119"/>
        <v>2031</v>
      </c>
      <c r="AA203" s="15">
        <f t="shared" si="119"/>
        <v>2032</v>
      </c>
      <c r="AB203" s="15">
        <f t="shared" si="119"/>
        <v>2033</v>
      </c>
      <c r="AC203" s="15">
        <f t="shared" si="119"/>
        <v>2034</v>
      </c>
      <c r="AD203" s="15">
        <f t="shared" si="119"/>
        <v>2035</v>
      </c>
      <c r="AE203" s="15">
        <f t="shared" si="119"/>
        <v>2036</v>
      </c>
      <c r="AF203" s="15">
        <f t="shared" si="119"/>
        <v>2037</v>
      </c>
      <c r="AG203" s="15">
        <f t="shared" si="119"/>
        <v>2038</v>
      </c>
      <c r="AH203" s="15">
        <f t="shared" si="119"/>
        <v>2039</v>
      </c>
      <c r="AI203" s="15">
        <f t="shared" si="119"/>
        <v>2040</v>
      </c>
      <c r="AJ203" s="15">
        <f t="shared" si="119"/>
        <v>2041</v>
      </c>
      <c r="AK203" s="15">
        <f t="shared" si="119"/>
        <v>2042</v>
      </c>
      <c r="AL203" s="15">
        <f t="shared" si="119"/>
        <v>2043</v>
      </c>
      <c r="AM203" s="15">
        <f t="shared" si="119"/>
        <v>2044</v>
      </c>
    </row>
    <row r="204" spans="2:39" x14ac:dyDescent="0.2">
      <c r="B204" s="10" t="s">
        <v>64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</row>
    <row r="205" spans="2:39" x14ac:dyDescent="0.2">
      <c r="B205" s="11"/>
      <c r="C205" s="51" t="s">
        <v>14</v>
      </c>
      <c r="D205" s="53">
        <f>D206*D207</f>
        <v>225000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</row>
    <row r="206" spans="2:39" x14ac:dyDescent="0.2">
      <c r="B206" s="11"/>
      <c r="C206" s="51" t="s">
        <v>34</v>
      </c>
      <c r="D206" s="16">
        <v>450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</row>
    <row r="207" spans="2:39" x14ac:dyDescent="0.2">
      <c r="B207" s="11"/>
      <c r="C207" s="51" t="s">
        <v>16</v>
      </c>
      <c r="D207" s="17">
        <v>500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</row>
    <row r="208" spans="2:39" x14ac:dyDescent="0.2">
      <c r="B208" s="11"/>
      <c r="C208" s="51" t="s">
        <v>17</v>
      </c>
      <c r="D208" s="48" t="s">
        <v>65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</row>
    <row r="209" spans="2:39" x14ac:dyDescent="0.2">
      <c r="B209" s="11"/>
      <c r="C209" s="51" t="s">
        <v>36</v>
      </c>
      <c r="D209" s="18">
        <v>42005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</row>
    <row r="210" spans="2:39" x14ac:dyDescent="0.2">
      <c r="B210" s="11"/>
      <c r="C210" s="51" t="s">
        <v>37</v>
      </c>
      <c r="D210" s="18">
        <v>42370</v>
      </c>
      <c r="E210" s="11"/>
      <c r="F210" s="48" t="s">
        <v>21</v>
      </c>
      <c r="G210" s="51"/>
      <c r="H210" s="51"/>
      <c r="I210" s="11"/>
      <c r="J210" s="20">
        <f t="shared" ref="J210:AC210" si="120">(MIN(MAX($D210,DATE(J$47,1,1)),DATE(J$47+1,1,1))-MIN(MAX($D209,DATE(J$47,1,1)),DATE(J$47+1,1,1)))</f>
        <v>365</v>
      </c>
      <c r="K210" s="20">
        <f t="shared" si="120"/>
        <v>0</v>
      </c>
      <c r="L210" s="20">
        <f t="shared" si="120"/>
        <v>0</v>
      </c>
      <c r="M210" s="20">
        <f t="shared" si="120"/>
        <v>0</v>
      </c>
      <c r="N210" s="20">
        <f t="shared" si="120"/>
        <v>0</v>
      </c>
      <c r="O210" s="20">
        <f t="shared" si="120"/>
        <v>0</v>
      </c>
      <c r="P210" s="20">
        <f t="shared" si="120"/>
        <v>0</v>
      </c>
      <c r="Q210" s="20">
        <f t="shared" si="120"/>
        <v>0</v>
      </c>
      <c r="R210" s="20">
        <f t="shared" si="120"/>
        <v>0</v>
      </c>
      <c r="S210" s="20">
        <f t="shared" si="120"/>
        <v>0</v>
      </c>
      <c r="T210" s="20">
        <f t="shared" si="120"/>
        <v>0</v>
      </c>
      <c r="U210" s="20">
        <f t="shared" si="120"/>
        <v>0</v>
      </c>
      <c r="V210" s="20">
        <f t="shared" si="120"/>
        <v>0</v>
      </c>
      <c r="W210" s="20">
        <f t="shared" si="120"/>
        <v>0</v>
      </c>
      <c r="X210" s="20">
        <f t="shared" si="120"/>
        <v>0</v>
      </c>
      <c r="Y210" s="20">
        <f t="shared" si="120"/>
        <v>0</v>
      </c>
      <c r="Z210" s="20">
        <f t="shared" si="120"/>
        <v>0</v>
      </c>
      <c r="AA210" s="20">
        <f t="shared" si="120"/>
        <v>0</v>
      </c>
      <c r="AB210" s="20">
        <f t="shared" si="120"/>
        <v>0</v>
      </c>
      <c r="AC210" s="20">
        <f t="shared" si="120"/>
        <v>0</v>
      </c>
      <c r="AD210" s="20">
        <f t="shared" ref="AD210:AM210" si="121">(MIN(MAX($D210,DATE(AD$47,1,1)),DATE(AD$47+1,1,1))-MIN(MAX($D209,DATE(AD$47,1,1)),DATE(AD$47+1,1,1)))</f>
        <v>0</v>
      </c>
      <c r="AE210" s="20">
        <f t="shared" si="121"/>
        <v>0</v>
      </c>
      <c r="AF210" s="20">
        <f t="shared" si="121"/>
        <v>0</v>
      </c>
      <c r="AG210" s="20">
        <f t="shared" si="121"/>
        <v>0</v>
      </c>
      <c r="AH210" s="20">
        <f t="shared" si="121"/>
        <v>0</v>
      </c>
      <c r="AI210" s="20">
        <f t="shared" si="121"/>
        <v>0</v>
      </c>
      <c r="AJ210" s="20">
        <f t="shared" si="121"/>
        <v>0</v>
      </c>
      <c r="AK210" s="20">
        <f t="shared" si="121"/>
        <v>0</v>
      </c>
      <c r="AL210" s="20">
        <f t="shared" si="121"/>
        <v>0</v>
      </c>
      <c r="AM210" s="20">
        <f t="shared" si="121"/>
        <v>0</v>
      </c>
    </row>
    <row r="211" spans="2:39" x14ac:dyDescent="0.2">
      <c r="B211" s="11"/>
      <c r="C211" s="51" t="s">
        <v>22</v>
      </c>
      <c r="D211" s="54">
        <f>D210-D209</f>
        <v>365</v>
      </c>
      <c r="E211" s="11"/>
      <c r="F211" s="48" t="s">
        <v>23</v>
      </c>
      <c r="G211" s="51" t="s">
        <v>66</v>
      </c>
      <c r="H211" s="51" t="str">
        <f ca="1">IFERROR(INDEX(CES_Short,MATCH(Parameters!G211,CES_Pick,0)),"")</f>
        <v>Culverts</v>
      </c>
      <c r="I211" s="11"/>
      <c r="J211" s="53">
        <f t="shared" ref="J211:AC211" si="122">$D205*J210/SUM($J210:$AC210)</f>
        <v>225000</v>
      </c>
      <c r="K211" s="53">
        <f t="shared" si="122"/>
        <v>0</v>
      </c>
      <c r="L211" s="53">
        <f t="shared" si="122"/>
        <v>0</v>
      </c>
      <c r="M211" s="53">
        <f t="shared" si="122"/>
        <v>0</v>
      </c>
      <c r="N211" s="53">
        <f t="shared" si="122"/>
        <v>0</v>
      </c>
      <c r="O211" s="53">
        <f t="shared" si="122"/>
        <v>0</v>
      </c>
      <c r="P211" s="53">
        <f t="shared" si="122"/>
        <v>0</v>
      </c>
      <c r="Q211" s="53">
        <f t="shared" si="122"/>
        <v>0</v>
      </c>
      <c r="R211" s="53">
        <f t="shared" si="122"/>
        <v>0</v>
      </c>
      <c r="S211" s="53">
        <f t="shared" si="122"/>
        <v>0</v>
      </c>
      <c r="T211" s="53">
        <f t="shared" si="122"/>
        <v>0</v>
      </c>
      <c r="U211" s="53">
        <f t="shared" si="122"/>
        <v>0</v>
      </c>
      <c r="V211" s="53">
        <f t="shared" si="122"/>
        <v>0</v>
      </c>
      <c r="W211" s="53">
        <f t="shared" si="122"/>
        <v>0</v>
      </c>
      <c r="X211" s="53">
        <f t="shared" si="122"/>
        <v>0</v>
      </c>
      <c r="Y211" s="53">
        <f t="shared" si="122"/>
        <v>0</v>
      </c>
      <c r="Z211" s="53">
        <f t="shared" si="122"/>
        <v>0</v>
      </c>
      <c r="AA211" s="53">
        <f t="shared" si="122"/>
        <v>0</v>
      </c>
      <c r="AB211" s="53">
        <f t="shared" si="122"/>
        <v>0</v>
      </c>
      <c r="AC211" s="53">
        <f t="shared" si="122"/>
        <v>0</v>
      </c>
      <c r="AD211" s="53">
        <f t="shared" ref="AD211:AM211" si="123">$D205*AD210/SUM($J210:$AC210)</f>
        <v>0</v>
      </c>
      <c r="AE211" s="53">
        <f t="shared" si="123"/>
        <v>0</v>
      </c>
      <c r="AF211" s="53">
        <f t="shared" si="123"/>
        <v>0</v>
      </c>
      <c r="AG211" s="53">
        <f t="shared" si="123"/>
        <v>0</v>
      </c>
      <c r="AH211" s="53">
        <f t="shared" si="123"/>
        <v>0</v>
      </c>
      <c r="AI211" s="53">
        <f t="shared" si="123"/>
        <v>0</v>
      </c>
      <c r="AJ211" s="53">
        <f t="shared" si="123"/>
        <v>0</v>
      </c>
      <c r="AK211" s="53">
        <f t="shared" si="123"/>
        <v>0</v>
      </c>
      <c r="AL211" s="53">
        <f t="shared" si="123"/>
        <v>0</v>
      </c>
      <c r="AM211" s="53">
        <f t="shared" si="123"/>
        <v>0</v>
      </c>
    </row>
    <row r="212" spans="2:39" x14ac:dyDescent="0.2">
      <c r="B212" s="11"/>
      <c r="C212" s="55" t="s">
        <v>25</v>
      </c>
      <c r="D212" s="19">
        <v>0.1</v>
      </c>
      <c r="E212" s="11"/>
      <c r="F212" s="56" t="s">
        <v>26</v>
      </c>
      <c r="G212" s="51" t="s">
        <v>27</v>
      </c>
      <c r="H212" s="51" t="str">
        <f ca="1">IFERROR(INDEX(CES_Short,MATCH(Parameters!G212,CES_Pick,0)),"")</f>
        <v>Mobilization</v>
      </c>
      <c r="I212" s="11"/>
      <c r="J212" s="57">
        <f t="shared" ref="J212:AC212" si="124">J211*$D212</f>
        <v>22500</v>
      </c>
      <c r="K212" s="57">
        <f t="shared" si="124"/>
        <v>0</v>
      </c>
      <c r="L212" s="57">
        <f t="shared" si="124"/>
        <v>0</v>
      </c>
      <c r="M212" s="57">
        <f t="shared" si="124"/>
        <v>0</v>
      </c>
      <c r="N212" s="57">
        <f t="shared" si="124"/>
        <v>0</v>
      </c>
      <c r="O212" s="57">
        <f t="shared" si="124"/>
        <v>0</v>
      </c>
      <c r="P212" s="57">
        <f t="shared" si="124"/>
        <v>0</v>
      </c>
      <c r="Q212" s="57">
        <f t="shared" si="124"/>
        <v>0</v>
      </c>
      <c r="R212" s="57">
        <f t="shared" si="124"/>
        <v>0</v>
      </c>
      <c r="S212" s="57">
        <f t="shared" si="124"/>
        <v>0</v>
      </c>
      <c r="T212" s="57">
        <f t="shared" si="124"/>
        <v>0</v>
      </c>
      <c r="U212" s="57">
        <f t="shared" si="124"/>
        <v>0</v>
      </c>
      <c r="V212" s="57">
        <f t="shared" si="124"/>
        <v>0</v>
      </c>
      <c r="W212" s="57">
        <f t="shared" si="124"/>
        <v>0</v>
      </c>
      <c r="X212" s="57">
        <f t="shared" si="124"/>
        <v>0</v>
      </c>
      <c r="Y212" s="57">
        <f t="shared" si="124"/>
        <v>0</v>
      </c>
      <c r="Z212" s="57">
        <f t="shared" si="124"/>
        <v>0</v>
      </c>
      <c r="AA212" s="57">
        <f t="shared" si="124"/>
        <v>0</v>
      </c>
      <c r="AB212" s="57">
        <f t="shared" si="124"/>
        <v>0</v>
      </c>
      <c r="AC212" s="57">
        <f t="shared" si="124"/>
        <v>0</v>
      </c>
      <c r="AD212" s="57">
        <f t="shared" ref="AD212:AM212" si="125">AD211*$D212</f>
        <v>0</v>
      </c>
      <c r="AE212" s="57">
        <f t="shared" si="125"/>
        <v>0</v>
      </c>
      <c r="AF212" s="57">
        <f t="shared" si="125"/>
        <v>0</v>
      </c>
      <c r="AG212" s="57">
        <f t="shared" si="125"/>
        <v>0</v>
      </c>
      <c r="AH212" s="57">
        <f t="shared" si="125"/>
        <v>0</v>
      </c>
      <c r="AI212" s="57">
        <f t="shared" si="125"/>
        <v>0</v>
      </c>
      <c r="AJ212" s="57">
        <f t="shared" si="125"/>
        <v>0</v>
      </c>
      <c r="AK212" s="57">
        <f t="shared" si="125"/>
        <v>0</v>
      </c>
      <c r="AL212" s="57">
        <f t="shared" si="125"/>
        <v>0</v>
      </c>
      <c r="AM212" s="57">
        <f t="shared" si="125"/>
        <v>0</v>
      </c>
    </row>
    <row r="213" spans="2:39" x14ac:dyDescent="0.2">
      <c r="B213" s="11"/>
      <c r="C213" s="55" t="s">
        <v>28</v>
      </c>
      <c r="D213" s="19">
        <v>0.35</v>
      </c>
      <c r="E213" s="11"/>
      <c r="F213" s="56" t="s">
        <v>29</v>
      </c>
      <c r="G213" s="51" t="s">
        <v>30</v>
      </c>
      <c r="H213" s="51" t="str">
        <f ca="1">IFERROR(INDEX(CES_Short,MATCH(Parameters!G213,CES_Pick,0)),"")</f>
        <v>Contingency</v>
      </c>
      <c r="I213" s="11"/>
      <c r="J213" s="57">
        <f t="shared" ref="J213:AC213" si="126">(J211+J212)*$D213</f>
        <v>86625</v>
      </c>
      <c r="K213" s="57">
        <f t="shared" si="126"/>
        <v>0</v>
      </c>
      <c r="L213" s="57">
        <f t="shared" si="126"/>
        <v>0</v>
      </c>
      <c r="M213" s="57">
        <f t="shared" si="126"/>
        <v>0</v>
      </c>
      <c r="N213" s="57">
        <f t="shared" si="126"/>
        <v>0</v>
      </c>
      <c r="O213" s="57">
        <f t="shared" si="126"/>
        <v>0</v>
      </c>
      <c r="P213" s="57">
        <f t="shared" si="126"/>
        <v>0</v>
      </c>
      <c r="Q213" s="57">
        <f t="shared" si="126"/>
        <v>0</v>
      </c>
      <c r="R213" s="57">
        <f t="shared" si="126"/>
        <v>0</v>
      </c>
      <c r="S213" s="57">
        <f t="shared" si="126"/>
        <v>0</v>
      </c>
      <c r="T213" s="57">
        <f t="shared" si="126"/>
        <v>0</v>
      </c>
      <c r="U213" s="57">
        <f t="shared" si="126"/>
        <v>0</v>
      </c>
      <c r="V213" s="57">
        <f t="shared" si="126"/>
        <v>0</v>
      </c>
      <c r="W213" s="57">
        <f t="shared" si="126"/>
        <v>0</v>
      </c>
      <c r="X213" s="57">
        <f t="shared" si="126"/>
        <v>0</v>
      </c>
      <c r="Y213" s="57">
        <f t="shared" si="126"/>
        <v>0</v>
      </c>
      <c r="Z213" s="57">
        <f t="shared" si="126"/>
        <v>0</v>
      </c>
      <c r="AA213" s="57">
        <f t="shared" si="126"/>
        <v>0</v>
      </c>
      <c r="AB213" s="57">
        <f t="shared" si="126"/>
        <v>0</v>
      </c>
      <c r="AC213" s="57">
        <f t="shared" si="126"/>
        <v>0</v>
      </c>
      <c r="AD213" s="57">
        <f t="shared" ref="AD213:AM213" si="127">(AD211+AD212)*$D213</f>
        <v>0</v>
      </c>
      <c r="AE213" s="57">
        <f t="shared" si="127"/>
        <v>0</v>
      </c>
      <c r="AF213" s="57">
        <f t="shared" si="127"/>
        <v>0</v>
      </c>
      <c r="AG213" s="57">
        <f t="shared" si="127"/>
        <v>0</v>
      </c>
      <c r="AH213" s="57">
        <f t="shared" si="127"/>
        <v>0</v>
      </c>
      <c r="AI213" s="57">
        <f t="shared" si="127"/>
        <v>0</v>
      </c>
      <c r="AJ213" s="57">
        <f t="shared" si="127"/>
        <v>0</v>
      </c>
      <c r="AK213" s="57">
        <f t="shared" si="127"/>
        <v>0</v>
      </c>
      <c r="AL213" s="57">
        <f t="shared" si="127"/>
        <v>0</v>
      </c>
      <c r="AM213" s="57">
        <f t="shared" si="127"/>
        <v>0</v>
      </c>
    </row>
    <row r="214" spans="2:39" ht="63.75" x14ac:dyDescent="0.2">
      <c r="B214" s="11"/>
      <c r="C214" s="51" t="s">
        <v>31</v>
      </c>
      <c r="D214" s="58" t="s">
        <v>32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</row>
    <row r="215" spans="2:39" x14ac:dyDescent="0.2">
      <c r="B215" s="11"/>
      <c r="C215" s="11"/>
      <c r="D215" s="11"/>
      <c r="E215" s="11"/>
      <c r="F215" s="15" t="s">
        <v>139</v>
      </c>
      <c r="G215" s="15" t="s">
        <v>11</v>
      </c>
      <c r="H215" s="15" t="s">
        <v>12</v>
      </c>
      <c r="I215" s="11"/>
      <c r="J215" s="15">
        <f>Start_Year</f>
        <v>2015</v>
      </c>
      <c r="K215" s="15">
        <f t="shared" ref="K215:AM215" si="128">J215+1</f>
        <v>2016</v>
      </c>
      <c r="L215" s="15">
        <f t="shared" si="128"/>
        <v>2017</v>
      </c>
      <c r="M215" s="15">
        <f t="shared" si="128"/>
        <v>2018</v>
      </c>
      <c r="N215" s="15">
        <f t="shared" si="128"/>
        <v>2019</v>
      </c>
      <c r="O215" s="15">
        <f t="shared" si="128"/>
        <v>2020</v>
      </c>
      <c r="P215" s="15">
        <f t="shared" si="128"/>
        <v>2021</v>
      </c>
      <c r="Q215" s="15">
        <f t="shared" si="128"/>
        <v>2022</v>
      </c>
      <c r="R215" s="15">
        <f t="shared" si="128"/>
        <v>2023</v>
      </c>
      <c r="S215" s="15">
        <f t="shared" si="128"/>
        <v>2024</v>
      </c>
      <c r="T215" s="15">
        <f t="shared" si="128"/>
        <v>2025</v>
      </c>
      <c r="U215" s="15">
        <f t="shared" si="128"/>
        <v>2026</v>
      </c>
      <c r="V215" s="15">
        <f t="shared" si="128"/>
        <v>2027</v>
      </c>
      <c r="W215" s="15">
        <f t="shared" si="128"/>
        <v>2028</v>
      </c>
      <c r="X215" s="15">
        <f t="shared" si="128"/>
        <v>2029</v>
      </c>
      <c r="Y215" s="15">
        <f t="shared" si="128"/>
        <v>2030</v>
      </c>
      <c r="Z215" s="15">
        <f t="shared" si="128"/>
        <v>2031</v>
      </c>
      <c r="AA215" s="15">
        <f t="shared" si="128"/>
        <v>2032</v>
      </c>
      <c r="AB215" s="15">
        <f t="shared" si="128"/>
        <v>2033</v>
      </c>
      <c r="AC215" s="15">
        <f t="shared" si="128"/>
        <v>2034</v>
      </c>
      <c r="AD215" s="15">
        <f t="shared" si="128"/>
        <v>2035</v>
      </c>
      <c r="AE215" s="15">
        <f t="shared" si="128"/>
        <v>2036</v>
      </c>
      <c r="AF215" s="15">
        <f t="shared" si="128"/>
        <v>2037</v>
      </c>
      <c r="AG215" s="15">
        <f t="shared" si="128"/>
        <v>2038</v>
      </c>
      <c r="AH215" s="15">
        <f t="shared" si="128"/>
        <v>2039</v>
      </c>
      <c r="AI215" s="15">
        <f t="shared" si="128"/>
        <v>2040</v>
      </c>
      <c r="AJ215" s="15">
        <f t="shared" si="128"/>
        <v>2041</v>
      </c>
      <c r="AK215" s="15">
        <f t="shared" si="128"/>
        <v>2042</v>
      </c>
      <c r="AL215" s="15">
        <f t="shared" si="128"/>
        <v>2043</v>
      </c>
      <c r="AM215" s="15">
        <f t="shared" si="128"/>
        <v>2044</v>
      </c>
    </row>
    <row r="216" spans="2:39" x14ac:dyDescent="0.2">
      <c r="B216" s="10" t="s">
        <v>67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</row>
    <row r="217" spans="2:39" x14ac:dyDescent="0.2">
      <c r="B217" s="11"/>
      <c r="C217" s="51" t="s">
        <v>14</v>
      </c>
      <c r="D217" s="53">
        <f>D218*D219</f>
        <v>200000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</row>
    <row r="218" spans="2:39" x14ac:dyDescent="0.2">
      <c r="B218" s="11"/>
      <c r="C218" s="51" t="s">
        <v>34</v>
      </c>
      <c r="D218" s="16">
        <v>25000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</row>
    <row r="219" spans="2:39" x14ac:dyDescent="0.2">
      <c r="B219" s="11"/>
      <c r="C219" s="51" t="s">
        <v>16</v>
      </c>
      <c r="D219" s="17">
        <v>8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</row>
    <row r="220" spans="2:39" x14ac:dyDescent="0.2">
      <c r="B220" s="11"/>
      <c r="C220" s="51" t="s">
        <v>17</v>
      </c>
      <c r="D220" s="48" t="s">
        <v>47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</row>
    <row r="221" spans="2:39" x14ac:dyDescent="0.2">
      <c r="B221" s="11"/>
      <c r="C221" s="51" t="s">
        <v>36</v>
      </c>
      <c r="D221" s="18">
        <v>42005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spans="2:39" x14ac:dyDescent="0.2">
      <c r="B222" s="11"/>
      <c r="C222" s="51" t="s">
        <v>37</v>
      </c>
      <c r="D222" s="18">
        <v>42370</v>
      </c>
      <c r="E222" s="11"/>
      <c r="F222" s="48" t="s">
        <v>21</v>
      </c>
      <c r="G222" s="51"/>
      <c r="H222" s="51"/>
      <c r="I222" s="11"/>
      <c r="J222" s="20">
        <f t="shared" ref="J222:AC222" si="129">(MIN(MAX($D222,DATE(J$47,1,1)),DATE(J$47+1,1,1))-MIN(MAX($D221,DATE(J$47,1,1)),DATE(J$47+1,1,1)))</f>
        <v>365</v>
      </c>
      <c r="K222" s="20">
        <f t="shared" si="129"/>
        <v>0</v>
      </c>
      <c r="L222" s="20">
        <f t="shared" si="129"/>
        <v>0</v>
      </c>
      <c r="M222" s="20">
        <f t="shared" si="129"/>
        <v>0</v>
      </c>
      <c r="N222" s="20">
        <f t="shared" si="129"/>
        <v>0</v>
      </c>
      <c r="O222" s="20">
        <f t="shared" si="129"/>
        <v>0</v>
      </c>
      <c r="P222" s="20">
        <f t="shared" si="129"/>
        <v>0</v>
      </c>
      <c r="Q222" s="20">
        <f t="shared" si="129"/>
        <v>0</v>
      </c>
      <c r="R222" s="20">
        <f t="shared" si="129"/>
        <v>0</v>
      </c>
      <c r="S222" s="20">
        <f t="shared" si="129"/>
        <v>0</v>
      </c>
      <c r="T222" s="20">
        <f t="shared" si="129"/>
        <v>0</v>
      </c>
      <c r="U222" s="20">
        <f t="shared" si="129"/>
        <v>0</v>
      </c>
      <c r="V222" s="20">
        <f t="shared" si="129"/>
        <v>0</v>
      </c>
      <c r="W222" s="20">
        <f t="shared" si="129"/>
        <v>0</v>
      </c>
      <c r="X222" s="20">
        <f t="shared" si="129"/>
        <v>0</v>
      </c>
      <c r="Y222" s="20">
        <f t="shared" si="129"/>
        <v>0</v>
      </c>
      <c r="Z222" s="20">
        <f t="shared" si="129"/>
        <v>0</v>
      </c>
      <c r="AA222" s="20">
        <f t="shared" si="129"/>
        <v>0</v>
      </c>
      <c r="AB222" s="20">
        <f t="shared" si="129"/>
        <v>0</v>
      </c>
      <c r="AC222" s="20">
        <f t="shared" si="129"/>
        <v>0</v>
      </c>
      <c r="AD222" s="20">
        <f t="shared" ref="AD222:AM222" si="130">(MIN(MAX($D222,DATE(AD$47,1,1)),DATE(AD$47+1,1,1))-MIN(MAX($D221,DATE(AD$47,1,1)),DATE(AD$47+1,1,1)))</f>
        <v>0</v>
      </c>
      <c r="AE222" s="20">
        <f t="shared" si="130"/>
        <v>0</v>
      </c>
      <c r="AF222" s="20">
        <f t="shared" si="130"/>
        <v>0</v>
      </c>
      <c r="AG222" s="20">
        <f t="shared" si="130"/>
        <v>0</v>
      </c>
      <c r="AH222" s="20">
        <f t="shared" si="130"/>
        <v>0</v>
      </c>
      <c r="AI222" s="20">
        <f t="shared" si="130"/>
        <v>0</v>
      </c>
      <c r="AJ222" s="20">
        <f t="shared" si="130"/>
        <v>0</v>
      </c>
      <c r="AK222" s="20">
        <f t="shared" si="130"/>
        <v>0</v>
      </c>
      <c r="AL222" s="20">
        <f t="shared" si="130"/>
        <v>0</v>
      </c>
      <c r="AM222" s="20">
        <f t="shared" si="130"/>
        <v>0</v>
      </c>
    </row>
    <row r="223" spans="2:39" x14ac:dyDescent="0.2">
      <c r="B223" s="11"/>
      <c r="C223" s="51" t="s">
        <v>22</v>
      </c>
      <c r="D223" s="54">
        <f>D222-D221</f>
        <v>365</v>
      </c>
      <c r="E223" s="11"/>
      <c r="F223" s="48" t="s">
        <v>23</v>
      </c>
      <c r="G223" s="51" t="s">
        <v>68</v>
      </c>
      <c r="H223" s="51" t="str">
        <f ca="1">IFERROR(INDEX(CES_Short,MATCH(Parameters!G223,CES_Pick,0)),"")</f>
        <v>Remove Crossing</v>
      </c>
      <c r="I223" s="11"/>
      <c r="J223" s="53">
        <f t="shared" ref="J223:AC223" si="131">$D217*J222/SUM($J222:$AC222)</f>
        <v>200000</v>
      </c>
      <c r="K223" s="53">
        <f t="shared" si="131"/>
        <v>0</v>
      </c>
      <c r="L223" s="53">
        <f t="shared" si="131"/>
        <v>0</v>
      </c>
      <c r="M223" s="53">
        <f t="shared" si="131"/>
        <v>0</v>
      </c>
      <c r="N223" s="53">
        <f t="shared" si="131"/>
        <v>0</v>
      </c>
      <c r="O223" s="53">
        <f t="shared" si="131"/>
        <v>0</v>
      </c>
      <c r="P223" s="53">
        <f t="shared" si="131"/>
        <v>0</v>
      </c>
      <c r="Q223" s="53">
        <f t="shared" si="131"/>
        <v>0</v>
      </c>
      <c r="R223" s="53">
        <f t="shared" si="131"/>
        <v>0</v>
      </c>
      <c r="S223" s="53">
        <f t="shared" si="131"/>
        <v>0</v>
      </c>
      <c r="T223" s="53">
        <f t="shared" si="131"/>
        <v>0</v>
      </c>
      <c r="U223" s="53">
        <f t="shared" si="131"/>
        <v>0</v>
      </c>
      <c r="V223" s="53">
        <f t="shared" si="131"/>
        <v>0</v>
      </c>
      <c r="W223" s="53">
        <f t="shared" si="131"/>
        <v>0</v>
      </c>
      <c r="X223" s="53">
        <f t="shared" si="131"/>
        <v>0</v>
      </c>
      <c r="Y223" s="53">
        <f t="shared" si="131"/>
        <v>0</v>
      </c>
      <c r="Z223" s="53">
        <f t="shared" si="131"/>
        <v>0</v>
      </c>
      <c r="AA223" s="53">
        <f t="shared" si="131"/>
        <v>0</v>
      </c>
      <c r="AB223" s="53">
        <f t="shared" si="131"/>
        <v>0</v>
      </c>
      <c r="AC223" s="53">
        <f t="shared" si="131"/>
        <v>0</v>
      </c>
      <c r="AD223" s="53">
        <f t="shared" ref="AD223:AM223" si="132">$D217*AD222/SUM($J222:$AC222)</f>
        <v>0</v>
      </c>
      <c r="AE223" s="53">
        <f t="shared" si="132"/>
        <v>0</v>
      </c>
      <c r="AF223" s="53">
        <f t="shared" si="132"/>
        <v>0</v>
      </c>
      <c r="AG223" s="53">
        <f t="shared" si="132"/>
        <v>0</v>
      </c>
      <c r="AH223" s="53">
        <f t="shared" si="132"/>
        <v>0</v>
      </c>
      <c r="AI223" s="53">
        <f t="shared" si="132"/>
        <v>0</v>
      </c>
      <c r="AJ223" s="53">
        <f t="shared" si="132"/>
        <v>0</v>
      </c>
      <c r="AK223" s="53">
        <f t="shared" si="132"/>
        <v>0</v>
      </c>
      <c r="AL223" s="53">
        <f t="shared" si="132"/>
        <v>0</v>
      </c>
      <c r="AM223" s="53">
        <f t="shared" si="132"/>
        <v>0</v>
      </c>
    </row>
    <row r="224" spans="2:39" x14ac:dyDescent="0.2">
      <c r="B224" s="11"/>
      <c r="C224" s="55" t="s">
        <v>25</v>
      </c>
      <c r="D224" s="19">
        <v>0.1</v>
      </c>
      <c r="E224" s="11"/>
      <c r="F224" s="56" t="s">
        <v>26</v>
      </c>
      <c r="G224" s="51" t="s">
        <v>27</v>
      </c>
      <c r="H224" s="51" t="str">
        <f ca="1">IFERROR(INDEX(CES_Short,MATCH(Parameters!G224,CES_Pick,0)),"")</f>
        <v>Mobilization</v>
      </c>
      <c r="I224" s="11"/>
      <c r="J224" s="57">
        <f t="shared" ref="J224:AC224" si="133">J223*$D224</f>
        <v>20000</v>
      </c>
      <c r="K224" s="57">
        <f t="shared" si="133"/>
        <v>0</v>
      </c>
      <c r="L224" s="57">
        <f t="shared" si="133"/>
        <v>0</v>
      </c>
      <c r="M224" s="57">
        <f t="shared" si="133"/>
        <v>0</v>
      </c>
      <c r="N224" s="57">
        <f t="shared" si="133"/>
        <v>0</v>
      </c>
      <c r="O224" s="57">
        <f t="shared" si="133"/>
        <v>0</v>
      </c>
      <c r="P224" s="57">
        <f t="shared" si="133"/>
        <v>0</v>
      </c>
      <c r="Q224" s="57">
        <f t="shared" si="133"/>
        <v>0</v>
      </c>
      <c r="R224" s="57">
        <f t="shared" si="133"/>
        <v>0</v>
      </c>
      <c r="S224" s="57">
        <f t="shared" si="133"/>
        <v>0</v>
      </c>
      <c r="T224" s="57">
        <f t="shared" si="133"/>
        <v>0</v>
      </c>
      <c r="U224" s="57">
        <f t="shared" si="133"/>
        <v>0</v>
      </c>
      <c r="V224" s="57">
        <f t="shared" si="133"/>
        <v>0</v>
      </c>
      <c r="W224" s="57">
        <f t="shared" si="133"/>
        <v>0</v>
      </c>
      <c r="X224" s="57">
        <f t="shared" si="133"/>
        <v>0</v>
      </c>
      <c r="Y224" s="57">
        <f t="shared" si="133"/>
        <v>0</v>
      </c>
      <c r="Z224" s="57">
        <f t="shared" si="133"/>
        <v>0</v>
      </c>
      <c r="AA224" s="57">
        <f t="shared" si="133"/>
        <v>0</v>
      </c>
      <c r="AB224" s="57">
        <f t="shared" si="133"/>
        <v>0</v>
      </c>
      <c r="AC224" s="57">
        <f t="shared" si="133"/>
        <v>0</v>
      </c>
      <c r="AD224" s="57">
        <f t="shared" ref="AD224:AM224" si="134">AD223*$D224</f>
        <v>0</v>
      </c>
      <c r="AE224" s="57">
        <f t="shared" si="134"/>
        <v>0</v>
      </c>
      <c r="AF224" s="57">
        <f t="shared" si="134"/>
        <v>0</v>
      </c>
      <c r="AG224" s="57">
        <f t="shared" si="134"/>
        <v>0</v>
      </c>
      <c r="AH224" s="57">
        <f t="shared" si="134"/>
        <v>0</v>
      </c>
      <c r="AI224" s="57">
        <f t="shared" si="134"/>
        <v>0</v>
      </c>
      <c r="AJ224" s="57">
        <f t="shared" si="134"/>
        <v>0</v>
      </c>
      <c r="AK224" s="57">
        <f t="shared" si="134"/>
        <v>0</v>
      </c>
      <c r="AL224" s="57">
        <f t="shared" si="134"/>
        <v>0</v>
      </c>
      <c r="AM224" s="57">
        <f t="shared" si="134"/>
        <v>0</v>
      </c>
    </row>
    <row r="225" spans="2:39" x14ac:dyDescent="0.2">
      <c r="B225" s="11"/>
      <c r="C225" s="55" t="s">
        <v>28</v>
      </c>
      <c r="D225" s="19">
        <v>0.35</v>
      </c>
      <c r="E225" s="11"/>
      <c r="F225" s="56" t="s">
        <v>29</v>
      </c>
      <c r="G225" s="51" t="s">
        <v>30</v>
      </c>
      <c r="H225" s="51" t="str">
        <f ca="1">IFERROR(INDEX(CES_Short,MATCH(Parameters!G225,CES_Pick,0)),"")</f>
        <v>Contingency</v>
      </c>
      <c r="I225" s="11"/>
      <c r="J225" s="57">
        <f t="shared" ref="J225:AC225" si="135">(J223+J224)*$D225</f>
        <v>77000</v>
      </c>
      <c r="K225" s="57">
        <f t="shared" si="135"/>
        <v>0</v>
      </c>
      <c r="L225" s="57">
        <f t="shared" si="135"/>
        <v>0</v>
      </c>
      <c r="M225" s="57">
        <f t="shared" si="135"/>
        <v>0</v>
      </c>
      <c r="N225" s="57">
        <f t="shared" si="135"/>
        <v>0</v>
      </c>
      <c r="O225" s="57">
        <f t="shared" si="135"/>
        <v>0</v>
      </c>
      <c r="P225" s="57">
        <f t="shared" si="135"/>
        <v>0</v>
      </c>
      <c r="Q225" s="57">
        <f t="shared" si="135"/>
        <v>0</v>
      </c>
      <c r="R225" s="57">
        <f t="shared" si="135"/>
        <v>0</v>
      </c>
      <c r="S225" s="57">
        <f t="shared" si="135"/>
        <v>0</v>
      </c>
      <c r="T225" s="57">
        <f t="shared" si="135"/>
        <v>0</v>
      </c>
      <c r="U225" s="57">
        <f t="shared" si="135"/>
        <v>0</v>
      </c>
      <c r="V225" s="57">
        <f t="shared" si="135"/>
        <v>0</v>
      </c>
      <c r="W225" s="57">
        <f t="shared" si="135"/>
        <v>0</v>
      </c>
      <c r="X225" s="57">
        <f t="shared" si="135"/>
        <v>0</v>
      </c>
      <c r="Y225" s="57">
        <f t="shared" si="135"/>
        <v>0</v>
      </c>
      <c r="Z225" s="57">
        <f t="shared" si="135"/>
        <v>0</v>
      </c>
      <c r="AA225" s="57">
        <f t="shared" si="135"/>
        <v>0</v>
      </c>
      <c r="AB225" s="57">
        <f t="shared" si="135"/>
        <v>0</v>
      </c>
      <c r="AC225" s="57">
        <f t="shared" si="135"/>
        <v>0</v>
      </c>
      <c r="AD225" s="57">
        <f t="shared" ref="AD225:AM225" si="136">(AD223+AD224)*$D225</f>
        <v>0</v>
      </c>
      <c r="AE225" s="57">
        <f t="shared" si="136"/>
        <v>0</v>
      </c>
      <c r="AF225" s="57">
        <f t="shared" si="136"/>
        <v>0</v>
      </c>
      <c r="AG225" s="57">
        <f t="shared" si="136"/>
        <v>0</v>
      </c>
      <c r="AH225" s="57">
        <f t="shared" si="136"/>
        <v>0</v>
      </c>
      <c r="AI225" s="57">
        <f t="shared" si="136"/>
        <v>0</v>
      </c>
      <c r="AJ225" s="57">
        <f t="shared" si="136"/>
        <v>0</v>
      </c>
      <c r="AK225" s="57">
        <f t="shared" si="136"/>
        <v>0</v>
      </c>
      <c r="AL225" s="57">
        <f t="shared" si="136"/>
        <v>0</v>
      </c>
      <c r="AM225" s="57">
        <f t="shared" si="136"/>
        <v>0</v>
      </c>
    </row>
    <row r="226" spans="2:39" ht="63.75" x14ac:dyDescent="0.2">
      <c r="B226" s="11"/>
      <c r="C226" s="51" t="s">
        <v>31</v>
      </c>
      <c r="D226" s="58" t="s">
        <v>32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</row>
    <row r="227" spans="2:39" x14ac:dyDescent="0.2">
      <c r="B227" s="11"/>
      <c r="C227" s="11"/>
      <c r="D227" s="11"/>
      <c r="E227" s="11"/>
      <c r="F227" s="15" t="s">
        <v>139</v>
      </c>
      <c r="G227" s="15" t="s">
        <v>11</v>
      </c>
      <c r="H227" s="15" t="s">
        <v>12</v>
      </c>
      <c r="I227" s="11"/>
      <c r="J227" s="15">
        <f>Start_Year</f>
        <v>2015</v>
      </c>
      <c r="K227" s="15">
        <f t="shared" ref="K227:AM227" si="137">J227+1</f>
        <v>2016</v>
      </c>
      <c r="L227" s="15">
        <f t="shared" si="137"/>
        <v>2017</v>
      </c>
      <c r="M227" s="15">
        <f t="shared" si="137"/>
        <v>2018</v>
      </c>
      <c r="N227" s="15">
        <f t="shared" si="137"/>
        <v>2019</v>
      </c>
      <c r="O227" s="15">
        <f t="shared" si="137"/>
        <v>2020</v>
      </c>
      <c r="P227" s="15">
        <f t="shared" si="137"/>
        <v>2021</v>
      </c>
      <c r="Q227" s="15">
        <f t="shared" si="137"/>
        <v>2022</v>
      </c>
      <c r="R227" s="15">
        <f t="shared" si="137"/>
        <v>2023</v>
      </c>
      <c r="S227" s="15">
        <f t="shared" si="137"/>
        <v>2024</v>
      </c>
      <c r="T227" s="15">
        <f t="shared" si="137"/>
        <v>2025</v>
      </c>
      <c r="U227" s="15">
        <f t="shared" si="137"/>
        <v>2026</v>
      </c>
      <c r="V227" s="15">
        <f t="shared" si="137"/>
        <v>2027</v>
      </c>
      <c r="W227" s="15">
        <f t="shared" si="137"/>
        <v>2028</v>
      </c>
      <c r="X227" s="15">
        <f t="shared" si="137"/>
        <v>2029</v>
      </c>
      <c r="Y227" s="15">
        <f t="shared" si="137"/>
        <v>2030</v>
      </c>
      <c r="Z227" s="15">
        <f t="shared" si="137"/>
        <v>2031</v>
      </c>
      <c r="AA227" s="15">
        <f t="shared" si="137"/>
        <v>2032</v>
      </c>
      <c r="AB227" s="15">
        <f t="shared" si="137"/>
        <v>2033</v>
      </c>
      <c r="AC227" s="15">
        <f t="shared" si="137"/>
        <v>2034</v>
      </c>
      <c r="AD227" s="15">
        <f t="shared" si="137"/>
        <v>2035</v>
      </c>
      <c r="AE227" s="15">
        <f t="shared" si="137"/>
        <v>2036</v>
      </c>
      <c r="AF227" s="15">
        <f t="shared" si="137"/>
        <v>2037</v>
      </c>
      <c r="AG227" s="15">
        <f t="shared" si="137"/>
        <v>2038</v>
      </c>
      <c r="AH227" s="15">
        <f t="shared" si="137"/>
        <v>2039</v>
      </c>
      <c r="AI227" s="15">
        <f t="shared" si="137"/>
        <v>2040</v>
      </c>
      <c r="AJ227" s="15">
        <f t="shared" si="137"/>
        <v>2041</v>
      </c>
      <c r="AK227" s="15">
        <f t="shared" si="137"/>
        <v>2042</v>
      </c>
      <c r="AL227" s="15">
        <f t="shared" si="137"/>
        <v>2043</v>
      </c>
      <c r="AM227" s="15">
        <f t="shared" si="137"/>
        <v>2044</v>
      </c>
    </row>
    <row r="228" spans="2:39" x14ac:dyDescent="0.2">
      <c r="B228" s="10" t="s">
        <v>69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</row>
    <row r="229" spans="2:39" x14ac:dyDescent="0.2">
      <c r="B229" s="11"/>
      <c r="C229" s="51" t="s">
        <v>14</v>
      </c>
      <c r="D229" s="53">
        <f>D230*D231</f>
        <v>500000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</row>
    <row r="230" spans="2:39" x14ac:dyDescent="0.2">
      <c r="B230" s="11"/>
      <c r="C230" s="51" t="s">
        <v>34</v>
      </c>
      <c r="D230" s="16">
        <v>1000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</row>
    <row r="231" spans="2:39" x14ac:dyDescent="0.2">
      <c r="B231" s="11"/>
      <c r="C231" s="51" t="s">
        <v>16</v>
      </c>
      <c r="D231" s="17">
        <v>500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</row>
    <row r="232" spans="2:39" x14ac:dyDescent="0.2">
      <c r="B232" s="11"/>
      <c r="C232" s="51" t="s">
        <v>17</v>
      </c>
      <c r="D232" s="48" t="s">
        <v>65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</row>
    <row r="233" spans="2:39" x14ac:dyDescent="0.2">
      <c r="B233" s="11"/>
      <c r="C233" s="51" t="s">
        <v>36</v>
      </c>
      <c r="D233" s="18">
        <v>42005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</row>
    <row r="234" spans="2:39" x14ac:dyDescent="0.2">
      <c r="B234" s="11"/>
      <c r="C234" s="51" t="s">
        <v>37</v>
      </c>
      <c r="D234" s="18">
        <v>42370</v>
      </c>
      <c r="E234" s="11"/>
      <c r="F234" s="48" t="s">
        <v>21</v>
      </c>
      <c r="G234" s="51"/>
      <c r="H234" s="51"/>
      <c r="I234" s="11"/>
      <c r="J234" s="20">
        <f t="shared" ref="J234:AC234" si="138">(MIN(MAX($D234,DATE(J$47,1,1)),DATE(J$47+1,1,1))-MIN(MAX($D233,DATE(J$47,1,1)),DATE(J$47+1,1,1)))</f>
        <v>365</v>
      </c>
      <c r="K234" s="20">
        <f t="shared" si="138"/>
        <v>0</v>
      </c>
      <c r="L234" s="20">
        <f t="shared" si="138"/>
        <v>0</v>
      </c>
      <c r="M234" s="20">
        <f t="shared" si="138"/>
        <v>0</v>
      </c>
      <c r="N234" s="20">
        <f t="shared" si="138"/>
        <v>0</v>
      </c>
      <c r="O234" s="20">
        <f t="shared" si="138"/>
        <v>0</v>
      </c>
      <c r="P234" s="20">
        <f t="shared" si="138"/>
        <v>0</v>
      </c>
      <c r="Q234" s="20">
        <f t="shared" si="138"/>
        <v>0</v>
      </c>
      <c r="R234" s="20">
        <f t="shared" si="138"/>
        <v>0</v>
      </c>
      <c r="S234" s="20">
        <f t="shared" si="138"/>
        <v>0</v>
      </c>
      <c r="T234" s="20">
        <f t="shared" si="138"/>
        <v>0</v>
      </c>
      <c r="U234" s="20">
        <f t="shared" si="138"/>
        <v>0</v>
      </c>
      <c r="V234" s="20">
        <f t="shared" si="138"/>
        <v>0</v>
      </c>
      <c r="W234" s="20">
        <f t="shared" si="138"/>
        <v>0</v>
      </c>
      <c r="X234" s="20">
        <f t="shared" si="138"/>
        <v>0</v>
      </c>
      <c r="Y234" s="20">
        <f t="shared" si="138"/>
        <v>0</v>
      </c>
      <c r="Z234" s="20">
        <f t="shared" si="138"/>
        <v>0</v>
      </c>
      <c r="AA234" s="20">
        <f t="shared" si="138"/>
        <v>0</v>
      </c>
      <c r="AB234" s="20">
        <f t="shared" si="138"/>
        <v>0</v>
      </c>
      <c r="AC234" s="20">
        <f t="shared" si="138"/>
        <v>0</v>
      </c>
      <c r="AD234" s="20">
        <f t="shared" ref="AD234:AM234" si="139">(MIN(MAX($D234,DATE(AD$47,1,1)),DATE(AD$47+1,1,1))-MIN(MAX($D233,DATE(AD$47,1,1)),DATE(AD$47+1,1,1)))</f>
        <v>0</v>
      </c>
      <c r="AE234" s="20">
        <f t="shared" si="139"/>
        <v>0</v>
      </c>
      <c r="AF234" s="20">
        <f t="shared" si="139"/>
        <v>0</v>
      </c>
      <c r="AG234" s="20">
        <f t="shared" si="139"/>
        <v>0</v>
      </c>
      <c r="AH234" s="20">
        <f t="shared" si="139"/>
        <v>0</v>
      </c>
      <c r="AI234" s="20">
        <f t="shared" si="139"/>
        <v>0</v>
      </c>
      <c r="AJ234" s="20">
        <f t="shared" si="139"/>
        <v>0</v>
      </c>
      <c r="AK234" s="20">
        <f t="shared" si="139"/>
        <v>0</v>
      </c>
      <c r="AL234" s="20">
        <f t="shared" si="139"/>
        <v>0</v>
      </c>
      <c r="AM234" s="20">
        <f t="shared" si="139"/>
        <v>0</v>
      </c>
    </row>
    <row r="235" spans="2:39" x14ac:dyDescent="0.2">
      <c r="B235" s="11"/>
      <c r="C235" s="51" t="s">
        <v>22</v>
      </c>
      <c r="D235" s="54">
        <f>D234-D233</f>
        <v>365</v>
      </c>
      <c r="E235" s="11"/>
      <c r="F235" s="48" t="s">
        <v>23</v>
      </c>
      <c r="G235" s="51" t="s">
        <v>70</v>
      </c>
      <c r="H235" s="51" t="str">
        <f ca="1">IFERROR(INDEX(CES_Short,MATCH(Parameters!G235,CES_Pick,0)),"")</f>
        <v>Add Crossing</v>
      </c>
      <c r="I235" s="11"/>
      <c r="J235" s="53">
        <f t="shared" ref="J235:AC235" si="140">$D229*J234/SUM($J234:$AC234)</f>
        <v>500000</v>
      </c>
      <c r="K235" s="53">
        <f t="shared" si="140"/>
        <v>0</v>
      </c>
      <c r="L235" s="53">
        <f t="shared" si="140"/>
        <v>0</v>
      </c>
      <c r="M235" s="53">
        <f t="shared" si="140"/>
        <v>0</v>
      </c>
      <c r="N235" s="53">
        <f t="shared" si="140"/>
        <v>0</v>
      </c>
      <c r="O235" s="53">
        <f t="shared" si="140"/>
        <v>0</v>
      </c>
      <c r="P235" s="53">
        <f t="shared" si="140"/>
        <v>0</v>
      </c>
      <c r="Q235" s="53">
        <f t="shared" si="140"/>
        <v>0</v>
      </c>
      <c r="R235" s="53">
        <f t="shared" si="140"/>
        <v>0</v>
      </c>
      <c r="S235" s="53">
        <f t="shared" si="140"/>
        <v>0</v>
      </c>
      <c r="T235" s="53">
        <f t="shared" si="140"/>
        <v>0</v>
      </c>
      <c r="U235" s="53">
        <f t="shared" si="140"/>
        <v>0</v>
      </c>
      <c r="V235" s="53">
        <f t="shared" si="140"/>
        <v>0</v>
      </c>
      <c r="W235" s="53">
        <f t="shared" si="140"/>
        <v>0</v>
      </c>
      <c r="X235" s="53">
        <f t="shared" si="140"/>
        <v>0</v>
      </c>
      <c r="Y235" s="53">
        <f t="shared" si="140"/>
        <v>0</v>
      </c>
      <c r="Z235" s="53">
        <f t="shared" si="140"/>
        <v>0</v>
      </c>
      <c r="AA235" s="53">
        <f t="shared" si="140"/>
        <v>0</v>
      </c>
      <c r="AB235" s="53">
        <f t="shared" si="140"/>
        <v>0</v>
      </c>
      <c r="AC235" s="53">
        <f t="shared" si="140"/>
        <v>0</v>
      </c>
      <c r="AD235" s="53">
        <f t="shared" ref="AD235:AM235" si="141">$D229*AD234/SUM($J234:$AC234)</f>
        <v>0</v>
      </c>
      <c r="AE235" s="53">
        <f t="shared" si="141"/>
        <v>0</v>
      </c>
      <c r="AF235" s="53">
        <f t="shared" si="141"/>
        <v>0</v>
      </c>
      <c r="AG235" s="53">
        <f t="shared" si="141"/>
        <v>0</v>
      </c>
      <c r="AH235" s="53">
        <f t="shared" si="141"/>
        <v>0</v>
      </c>
      <c r="AI235" s="53">
        <f t="shared" si="141"/>
        <v>0</v>
      </c>
      <c r="AJ235" s="53">
        <f t="shared" si="141"/>
        <v>0</v>
      </c>
      <c r="AK235" s="53">
        <f t="shared" si="141"/>
        <v>0</v>
      </c>
      <c r="AL235" s="53">
        <f t="shared" si="141"/>
        <v>0</v>
      </c>
      <c r="AM235" s="53">
        <f t="shared" si="141"/>
        <v>0</v>
      </c>
    </row>
    <row r="236" spans="2:39" x14ac:dyDescent="0.2">
      <c r="B236" s="11"/>
      <c r="C236" s="55" t="s">
        <v>25</v>
      </c>
      <c r="D236" s="19">
        <v>0.1</v>
      </c>
      <c r="E236" s="11"/>
      <c r="F236" s="56" t="s">
        <v>26</v>
      </c>
      <c r="G236" s="51" t="s">
        <v>27</v>
      </c>
      <c r="H236" s="51" t="str">
        <f ca="1">IFERROR(INDEX(CES_Short,MATCH(Parameters!G236,CES_Pick,0)),"")</f>
        <v>Mobilization</v>
      </c>
      <c r="I236" s="11"/>
      <c r="J236" s="57">
        <f t="shared" ref="J236:AC236" si="142">J235*$D236</f>
        <v>50000</v>
      </c>
      <c r="K236" s="57">
        <f t="shared" si="142"/>
        <v>0</v>
      </c>
      <c r="L236" s="57">
        <f t="shared" si="142"/>
        <v>0</v>
      </c>
      <c r="M236" s="57">
        <f t="shared" si="142"/>
        <v>0</v>
      </c>
      <c r="N236" s="57">
        <f t="shared" si="142"/>
        <v>0</v>
      </c>
      <c r="O236" s="57">
        <f t="shared" si="142"/>
        <v>0</v>
      </c>
      <c r="P236" s="57">
        <f t="shared" si="142"/>
        <v>0</v>
      </c>
      <c r="Q236" s="57">
        <f t="shared" si="142"/>
        <v>0</v>
      </c>
      <c r="R236" s="57">
        <f t="shared" si="142"/>
        <v>0</v>
      </c>
      <c r="S236" s="57">
        <f t="shared" si="142"/>
        <v>0</v>
      </c>
      <c r="T236" s="57">
        <f t="shared" si="142"/>
        <v>0</v>
      </c>
      <c r="U236" s="57">
        <f t="shared" si="142"/>
        <v>0</v>
      </c>
      <c r="V236" s="57">
        <f t="shared" si="142"/>
        <v>0</v>
      </c>
      <c r="W236" s="57">
        <f t="shared" si="142"/>
        <v>0</v>
      </c>
      <c r="X236" s="57">
        <f t="shared" si="142"/>
        <v>0</v>
      </c>
      <c r="Y236" s="57">
        <f t="shared" si="142"/>
        <v>0</v>
      </c>
      <c r="Z236" s="57">
        <f t="shared" si="142"/>
        <v>0</v>
      </c>
      <c r="AA236" s="57">
        <f t="shared" si="142"/>
        <v>0</v>
      </c>
      <c r="AB236" s="57">
        <f t="shared" si="142"/>
        <v>0</v>
      </c>
      <c r="AC236" s="57">
        <f t="shared" si="142"/>
        <v>0</v>
      </c>
      <c r="AD236" s="57">
        <f t="shared" ref="AD236:AM236" si="143">AD235*$D236</f>
        <v>0</v>
      </c>
      <c r="AE236" s="57">
        <f t="shared" si="143"/>
        <v>0</v>
      </c>
      <c r="AF236" s="57">
        <f t="shared" si="143"/>
        <v>0</v>
      </c>
      <c r="AG236" s="57">
        <f t="shared" si="143"/>
        <v>0</v>
      </c>
      <c r="AH236" s="57">
        <f t="shared" si="143"/>
        <v>0</v>
      </c>
      <c r="AI236" s="57">
        <f t="shared" si="143"/>
        <v>0</v>
      </c>
      <c r="AJ236" s="57">
        <f t="shared" si="143"/>
        <v>0</v>
      </c>
      <c r="AK236" s="57">
        <f t="shared" si="143"/>
        <v>0</v>
      </c>
      <c r="AL236" s="57">
        <f t="shared" si="143"/>
        <v>0</v>
      </c>
      <c r="AM236" s="57">
        <f t="shared" si="143"/>
        <v>0</v>
      </c>
    </row>
    <row r="237" spans="2:39" x14ac:dyDescent="0.2">
      <c r="B237" s="11"/>
      <c r="C237" s="55" t="s">
        <v>28</v>
      </c>
      <c r="D237" s="19">
        <v>0.35</v>
      </c>
      <c r="E237" s="11"/>
      <c r="F237" s="56" t="s">
        <v>29</v>
      </c>
      <c r="G237" s="51" t="s">
        <v>30</v>
      </c>
      <c r="H237" s="51" t="str">
        <f ca="1">IFERROR(INDEX(CES_Short,MATCH(Parameters!G237,CES_Pick,0)),"")</f>
        <v>Contingency</v>
      </c>
      <c r="I237" s="11"/>
      <c r="J237" s="57">
        <f t="shared" ref="J237:AC237" si="144">(J235+J236)*$D237</f>
        <v>192500</v>
      </c>
      <c r="K237" s="57">
        <f t="shared" si="144"/>
        <v>0</v>
      </c>
      <c r="L237" s="57">
        <f t="shared" si="144"/>
        <v>0</v>
      </c>
      <c r="M237" s="57">
        <f t="shared" si="144"/>
        <v>0</v>
      </c>
      <c r="N237" s="57">
        <f t="shared" si="144"/>
        <v>0</v>
      </c>
      <c r="O237" s="57">
        <f t="shared" si="144"/>
        <v>0</v>
      </c>
      <c r="P237" s="57">
        <f t="shared" si="144"/>
        <v>0</v>
      </c>
      <c r="Q237" s="57">
        <f t="shared" si="144"/>
        <v>0</v>
      </c>
      <c r="R237" s="57">
        <f t="shared" si="144"/>
        <v>0</v>
      </c>
      <c r="S237" s="57">
        <f t="shared" si="144"/>
        <v>0</v>
      </c>
      <c r="T237" s="57">
        <f t="shared" si="144"/>
        <v>0</v>
      </c>
      <c r="U237" s="57">
        <f t="shared" si="144"/>
        <v>0</v>
      </c>
      <c r="V237" s="57">
        <f t="shared" si="144"/>
        <v>0</v>
      </c>
      <c r="W237" s="57">
        <f t="shared" si="144"/>
        <v>0</v>
      </c>
      <c r="X237" s="57">
        <f t="shared" si="144"/>
        <v>0</v>
      </c>
      <c r="Y237" s="57">
        <f t="shared" si="144"/>
        <v>0</v>
      </c>
      <c r="Z237" s="57">
        <f t="shared" si="144"/>
        <v>0</v>
      </c>
      <c r="AA237" s="57">
        <f t="shared" si="144"/>
        <v>0</v>
      </c>
      <c r="AB237" s="57">
        <f t="shared" si="144"/>
        <v>0</v>
      </c>
      <c r="AC237" s="57">
        <f t="shared" si="144"/>
        <v>0</v>
      </c>
      <c r="AD237" s="57">
        <f t="shared" ref="AD237:AM237" si="145">(AD235+AD236)*$D237</f>
        <v>0</v>
      </c>
      <c r="AE237" s="57">
        <f t="shared" si="145"/>
        <v>0</v>
      </c>
      <c r="AF237" s="57">
        <f t="shared" si="145"/>
        <v>0</v>
      </c>
      <c r="AG237" s="57">
        <f t="shared" si="145"/>
        <v>0</v>
      </c>
      <c r="AH237" s="57">
        <f t="shared" si="145"/>
        <v>0</v>
      </c>
      <c r="AI237" s="57">
        <f t="shared" si="145"/>
        <v>0</v>
      </c>
      <c r="AJ237" s="57">
        <f t="shared" si="145"/>
        <v>0</v>
      </c>
      <c r="AK237" s="57">
        <f t="shared" si="145"/>
        <v>0</v>
      </c>
      <c r="AL237" s="57">
        <f t="shared" si="145"/>
        <v>0</v>
      </c>
      <c r="AM237" s="57">
        <f t="shared" si="145"/>
        <v>0</v>
      </c>
    </row>
    <row r="238" spans="2:39" ht="63.75" x14ac:dyDescent="0.2">
      <c r="B238" s="11"/>
      <c r="C238" s="51" t="s">
        <v>31</v>
      </c>
      <c r="D238" s="58" t="s">
        <v>32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</row>
    <row r="239" spans="2:39" x14ac:dyDescent="0.2">
      <c r="B239" s="11"/>
      <c r="C239" s="11"/>
      <c r="D239" s="11"/>
      <c r="E239" s="11"/>
      <c r="F239" s="15" t="s">
        <v>139</v>
      </c>
      <c r="G239" s="15" t="s">
        <v>11</v>
      </c>
      <c r="H239" s="15" t="s">
        <v>12</v>
      </c>
      <c r="I239" s="11"/>
      <c r="J239" s="15">
        <f>Start_Year</f>
        <v>2015</v>
      </c>
      <c r="K239" s="15">
        <f t="shared" ref="K239:AM239" si="146">J239+1</f>
        <v>2016</v>
      </c>
      <c r="L239" s="15">
        <f t="shared" si="146"/>
        <v>2017</v>
      </c>
      <c r="M239" s="15">
        <f t="shared" si="146"/>
        <v>2018</v>
      </c>
      <c r="N239" s="15">
        <f t="shared" si="146"/>
        <v>2019</v>
      </c>
      <c r="O239" s="15">
        <f t="shared" si="146"/>
        <v>2020</v>
      </c>
      <c r="P239" s="15">
        <f t="shared" si="146"/>
        <v>2021</v>
      </c>
      <c r="Q239" s="15">
        <f t="shared" si="146"/>
        <v>2022</v>
      </c>
      <c r="R239" s="15">
        <f t="shared" si="146"/>
        <v>2023</v>
      </c>
      <c r="S239" s="15">
        <f t="shared" si="146"/>
        <v>2024</v>
      </c>
      <c r="T239" s="15">
        <f t="shared" si="146"/>
        <v>2025</v>
      </c>
      <c r="U239" s="15">
        <f t="shared" si="146"/>
        <v>2026</v>
      </c>
      <c r="V239" s="15">
        <f t="shared" si="146"/>
        <v>2027</v>
      </c>
      <c r="W239" s="15">
        <f t="shared" si="146"/>
        <v>2028</v>
      </c>
      <c r="X239" s="15">
        <f t="shared" si="146"/>
        <v>2029</v>
      </c>
      <c r="Y239" s="15">
        <f t="shared" si="146"/>
        <v>2030</v>
      </c>
      <c r="Z239" s="15">
        <f t="shared" si="146"/>
        <v>2031</v>
      </c>
      <c r="AA239" s="15">
        <f t="shared" si="146"/>
        <v>2032</v>
      </c>
      <c r="AB239" s="15">
        <f t="shared" si="146"/>
        <v>2033</v>
      </c>
      <c r="AC239" s="15">
        <f t="shared" si="146"/>
        <v>2034</v>
      </c>
      <c r="AD239" s="15">
        <f t="shared" si="146"/>
        <v>2035</v>
      </c>
      <c r="AE239" s="15">
        <f t="shared" si="146"/>
        <v>2036</v>
      </c>
      <c r="AF239" s="15">
        <f t="shared" si="146"/>
        <v>2037</v>
      </c>
      <c r="AG239" s="15">
        <f t="shared" si="146"/>
        <v>2038</v>
      </c>
      <c r="AH239" s="15">
        <f t="shared" si="146"/>
        <v>2039</v>
      </c>
      <c r="AI239" s="15">
        <f t="shared" si="146"/>
        <v>2040</v>
      </c>
      <c r="AJ239" s="15">
        <f t="shared" si="146"/>
        <v>2041</v>
      </c>
      <c r="AK239" s="15">
        <f t="shared" si="146"/>
        <v>2042</v>
      </c>
      <c r="AL239" s="15">
        <f t="shared" si="146"/>
        <v>2043</v>
      </c>
      <c r="AM239" s="15">
        <f t="shared" si="146"/>
        <v>2044</v>
      </c>
    </row>
    <row r="240" spans="2:39" x14ac:dyDescent="0.2">
      <c r="B240" s="10" t="s">
        <v>71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</row>
    <row r="241" spans="2:39" x14ac:dyDescent="0.2">
      <c r="B241" s="11"/>
      <c r="C241" s="51" t="s">
        <v>14</v>
      </c>
      <c r="D241" s="53">
        <f>D242*D243</f>
        <v>100000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</row>
    <row r="242" spans="2:39" x14ac:dyDescent="0.2">
      <c r="B242" s="11"/>
      <c r="C242" s="51" t="s">
        <v>34</v>
      </c>
      <c r="D242" s="16">
        <v>100000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</row>
    <row r="243" spans="2:39" x14ac:dyDescent="0.2">
      <c r="B243" s="11"/>
      <c r="C243" s="51" t="s">
        <v>16</v>
      </c>
      <c r="D243" s="17">
        <v>1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</row>
    <row r="244" spans="2:39" x14ac:dyDescent="0.2">
      <c r="B244" s="11"/>
      <c r="C244" s="51" t="s">
        <v>17</v>
      </c>
      <c r="D244" s="48" t="s">
        <v>62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</row>
    <row r="245" spans="2:39" x14ac:dyDescent="0.2">
      <c r="B245" s="11"/>
      <c r="C245" s="51" t="s">
        <v>36</v>
      </c>
      <c r="D245" s="18">
        <v>42005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</row>
    <row r="246" spans="2:39" x14ac:dyDescent="0.2">
      <c r="B246" s="11"/>
      <c r="C246" s="51" t="s">
        <v>37</v>
      </c>
      <c r="D246" s="18">
        <v>42370</v>
      </c>
      <c r="E246" s="11"/>
      <c r="F246" s="48" t="s">
        <v>21</v>
      </c>
      <c r="G246" s="51"/>
      <c r="H246" s="51"/>
      <c r="I246" s="11"/>
      <c r="J246" s="20">
        <f t="shared" ref="J246:AC246" si="147">(MIN(MAX($D246,DATE(J$47,1,1)),DATE(J$47+1,1,1))-MIN(MAX($D245,DATE(J$47,1,1)),DATE(J$47+1,1,1)))</f>
        <v>365</v>
      </c>
      <c r="K246" s="20">
        <f t="shared" si="147"/>
        <v>0</v>
      </c>
      <c r="L246" s="20">
        <f t="shared" si="147"/>
        <v>0</v>
      </c>
      <c r="M246" s="20">
        <f t="shared" si="147"/>
        <v>0</v>
      </c>
      <c r="N246" s="20">
        <f t="shared" si="147"/>
        <v>0</v>
      </c>
      <c r="O246" s="20">
        <f t="shared" si="147"/>
        <v>0</v>
      </c>
      <c r="P246" s="20">
        <f t="shared" si="147"/>
        <v>0</v>
      </c>
      <c r="Q246" s="20">
        <f t="shared" si="147"/>
        <v>0</v>
      </c>
      <c r="R246" s="20">
        <f t="shared" si="147"/>
        <v>0</v>
      </c>
      <c r="S246" s="20">
        <f t="shared" si="147"/>
        <v>0</v>
      </c>
      <c r="T246" s="20">
        <f t="shared" si="147"/>
        <v>0</v>
      </c>
      <c r="U246" s="20">
        <f t="shared" si="147"/>
        <v>0</v>
      </c>
      <c r="V246" s="20">
        <f t="shared" si="147"/>
        <v>0</v>
      </c>
      <c r="W246" s="20">
        <f t="shared" si="147"/>
        <v>0</v>
      </c>
      <c r="X246" s="20">
        <f t="shared" si="147"/>
        <v>0</v>
      </c>
      <c r="Y246" s="20">
        <f t="shared" si="147"/>
        <v>0</v>
      </c>
      <c r="Z246" s="20">
        <f t="shared" si="147"/>
        <v>0</v>
      </c>
      <c r="AA246" s="20">
        <f t="shared" si="147"/>
        <v>0</v>
      </c>
      <c r="AB246" s="20">
        <f t="shared" si="147"/>
        <v>0</v>
      </c>
      <c r="AC246" s="20">
        <f t="shared" si="147"/>
        <v>0</v>
      </c>
      <c r="AD246" s="20">
        <f t="shared" ref="AD246:AM246" si="148">(MIN(MAX($D246,DATE(AD$47,1,1)),DATE(AD$47+1,1,1))-MIN(MAX($D245,DATE(AD$47,1,1)),DATE(AD$47+1,1,1)))</f>
        <v>0</v>
      </c>
      <c r="AE246" s="20">
        <f t="shared" si="148"/>
        <v>0</v>
      </c>
      <c r="AF246" s="20">
        <f t="shared" si="148"/>
        <v>0</v>
      </c>
      <c r="AG246" s="20">
        <f t="shared" si="148"/>
        <v>0</v>
      </c>
      <c r="AH246" s="20">
        <f t="shared" si="148"/>
        <v>0</v>
      </c>
      <c r="AI246" s="20">
        <f t="shared" si="148"/>
        <v>0</v>
      </c>
      <c r="AJ246" s="20">
        <f t="shared" si="148"/>
        <v>0</v>
      </c>
      <c r="AK246" s="20">
        <f t="shared" si="148"/>
        <v>0</v>
      </c>
      <c r="AL246" s="20">
        <f t="shared" si="148"/>
        <v>0</v>
      </c>
      <c r="AM246" s="20">
        <f t="shared" si="148"/>
        <v>0</v>
      </c>
    </row>
    <row r="247" spans="2:39" x14ac:dyDescent="0.2">
      <c r="B247" s="11"/>
      <c r="C247" s="51" t="s">
        <v>22</v>
      </c>
      <c r="D247" s="54">
        <f>D246-D245</f>
        <v>365</v>
      </c>
      <c r="E247" s="11"/>
      <c r="F247" s="48" t="s">
        <v>23</v>
      </c>
      <c r="G247" s="51" t="s">
        <v>72</v>
      </c>
      <c r="H247" s="51" t="str">
        <f ca="1">IFERROR(INDEX(CES_Short,MATCH(Parameters!G247,CES_Pick,0)),"")</f>
        <v>Demo Bridge</v>
      </c>
      <c r="I247" s="11"/>
      <c r="J247" s="53">
        <f t="shared" ref="J247:AC247" si="149">$D241*J246/SUM($J246:$AC246)</f>
        <v>100000</v>
      </c>
      <c r="K247" s="53">
        <f t="shared" si="149"/>
        <v>0</v>
      </c>
      <c r="L247" s="53">
        <f t="shared" si="149"/>
        <v>0</v>
      </c>
      <c r="M247" s="53">
        <f t="shared" si="149"/>
        <v>0</v>
      </c>
      <c r="N247" s="53">
        <f t="shared" si="149"/>
        <v>0</v>
      </c>
      <c r="O247" s="53">
        <f t="shared" si="149"/>
        <v>0</v>
      </c>
      <c r="P247" s="53">
        <f t="shared" si="149"/>
        <v>0</v>
      </c>
      <c r="Q247" s="53">
        <f t="shared" si="149"/>
        <v>0</v>
      </c>
      <c r="R247" s="53">
        <f t="shared" si="149"/>
        <v>0</v>
      </c>
      <c r="S247" s="53">
        <f t="shared" si="149"/>
        <v>0</v>
      </c>
      <c r="T247" s="53">
        <f t="shared" si="149"/>
        <v>0</v>
      </c>
      <c r="U247" s="53">
        <f t="shared" si="149"/>
        <v>0</v>
      </c>
      <c r="V247" s="53">
        <f t="shared" si="149"/>
        <v>0</v>
      </c>
      <c r="W247" s="53">
        <f t="shared" si="149"/>
        <v>0</v>
      </c>
      <c r="X247" s="53">
        <f t="shared" si="149"/>
        <v>0</v>
      </c>
      <c r="Y247" s="53">
        <f t="shared" si="149"/>
        <v>0</v>
      </c>
      <c r="Z247" s="53">
        <f t="shared" si="149"/>
        <v>0</v>
      </c>
      <c r="AA247" s="53">
        <f t="shared" si="149"/>
        <v>0</v>
      </c>
      <c r="AB247" s="53">
        <f t="shared" si="149"/>
        <v>0</v>
      </c>
      <c r="AC247" s="53">
        <f t="shared" si="149"/>
        <v>0</v>
      </c>
      <c r="AD247" s="53">
        <f t="shared" ref="AD247:AM247" si="150">$D241*AD246/SUM($J246:$AC246)</f>
        <v>0</v>
      </c>
      <c r="AE247" s="53">
        <f t="shared" si="150"/>
        <v>0</v>
      </c>
      <c r="AF247" s="53">
        <f t="shared" si="150"/>
        <v>0</v>
      </c>
      <c r="AG247" s="53">
        <f t="shared" si="150"/>
        <v>0</v>
      </c>
      <c r="AH247" s="53">
        <f t="shared" si="150"/>
        <v>0</v>
      </c>
      <c r="AI247" s="53">
        <f t="shared" si="150"/>
        <v>0</v>
      </c>
      <c r="AJ247" s="53">
        <f t="shared" si="150"/>
        <v>0</v>
      </c>
      <c r="AK247" s="53">
        <f t="shared" si="150"/>
        <v>0</v>
      </c>
      <c r="AL247" s="53">
        <f t="shared" si="150"/>
        <v>0</v>
      </c>
      <c r="AM247" s="53">
        <f t="shared" si="150"/>
        <v>0</v>
      </c>
    </row>
    <row r="248" spans="2:39" x14ac:dyDescent="0.2">
      <c r="B248" s="11"/>
      <c r="C248" s="55" t="s">
        <v>25</v>
      </c>
      <c r="D248" s="19">
        <v>0.1</v>
      </c>
      <c r="E248" s="11"/>
      <c r="F248" s="56" t="s">
        <v>26</v>
      </c>
      <c r="G248" s="51" t="s">
        <v>27</v>
      </c>
      <c r="H248" s="51" t="str">
        <f ca="1">IFERROR(INDEX(CES_Short,MATCH(Parameters!G248,CES_Pick,0)),"")</f>
        <v>Mobilization</v>
      </c>
      <c r="I248" s="11"/>
      <c r="J248" s="57">
        <f t="shared" ref="J248:AC248" si="151">J247*$D248</f>
        <v>10000</v>
      </c>
      <c r="K248" s="57">
        <f t="shared" si="151"/>
        <v>0</v>
      </c>
      <c r="L248" s="57">
        <f t="shared" si="151"/>
        <v>0</v>
      </c>
      <c r="M248" s="57">
        <f t="shared" si="151"/>
        <v>0</v>
      </c>
      <c r="N248" s="57">
        <f t="shared" si="151"/>
        <v>0</v>
      </c>
      <c r="O248" s="57">
        <f t="shared" si="151"/>
        <v>0</v>
      </c>
      <c r="P248" s="57">
        <f t="shared" si="151"/>
        <v>0</v>
      </c>
      <c r="Q248" s="57">
        <f t="shared" si="151"/>
        <v>0</v>
      </c>
      <c r="R248" s="57">
        <f t="shared" si="151"/>
        <v>0</v>
      </c>
      <c r="S248" s="57">
        <f t="shared" si="151"/>
        <v>0</v>
      </c>
      <c r="T248" s="57">
        <f t="shared" si="151"/>
        <v>0</v>
      </c>
      <c r="U248" s="57">
        <f t="shared" si="151"/>
        <v>0</v>
      </c>
      <c r="V248" s="57">
        <f t="shared" si="151"/>
        <v>0</v>
      </c>
      <c r="W248" s="57">
        <f t="shared" si="151"/>
        <v>0</v>
      </c>
      <c r="X248" s="57">
        <f t="shared" si="151"/>
        <v>0</v>
      </c>
      <c r="Y248" s="57">
        <f t="shared" si="151"/>
        <v>0</v>
      </c>
      <c r="Z248" s="57">
        <f t="shared" si="151"/>
        <v>0</v>
      </c>
      <c r="AA248" s="57">
        <f t="shared" si="151"/>
        <v>0</v>
      </c>
      <c r="AB248" s="57">
        <f t="shared" si="151"/>
        <v>0</v>
      </c>
      <c r="AC248" s="57">
        <f t="shared" si="151"/>
        <v>0</v>
      </c>
      <c r="AD248" s="57">
        <f t="shared" ref="AD248:AM248" si="152">AD247*$D248</f>
        <v>0</v>
      </c>
      <c r="AE248" s="57">
        <f t="shared" si="152"/>
        <v>0</v>
      </c>
      <c r="AF248" s="57">
        <f t="shared" si="152"/>
        <v>0</v>
      </c>
      <c r="AG248" s="57">
        <f t="shared" si="152"/>
        <v>0</v>
      </c>
      <c r="AH248" s="57">
        <f t="shared" si="152"/>
        <v>0</v>
      </c>
      <c r="AI248" s="57">
        <f t="shared" si="152"/>
        <v>0</v>
      </c>
      <c r="AJ248" s="57">
        <f t="shared" si="152"/>
        <v>0</v>
      </c>
      <c r="AK248" s="57">
        <f t="shared" si="152"/>
        <v>0</v>
      </c>
      <c r="AL248" s="57">
        <f t="shared" si="152"/>
        <v>0</v>
      </c>
      <c r="AM248" s="57">
        <f t="shared" si="152"/>
        <v>0</v>
      </c>
    </row>
    <row r="249" spans="2:39" x14ac:dyDescent="0.2">
      <c r="B249" s="11"/>
      <c r="C249" s="55" t="s">
        <v>28</v>
      </c>
      <c r="D249" s="19">
        <v>0.35</v>
      </c>
      <c r="E249" s="11"/>
      <c r="F249" s="56" t="s">
        <v>29</v>
      </c>
      <c r="G249" s="51" t="s">
        <v>30</v>
      </c>
      <c r="H249" s="51" t="str">
        <f ca="1">IFERROR(INDEX(CES_Short,MATCH(Parameters!G249,CES_Pick,0)),"")</f>
        <v>Contingency</v>
      </c>
      <c r="I249" s="11"/>
      <c r="J249" s="57">
        <f t="shared" ref="J249:AC249" si="153">(J247+J248)*$D249</f>
        <v>38500</v>
      </c>
      <c r="K249" s="57">
        <f t="shared" si="153"/>
        <v>0</v>
      </c>
      <c r="L249" s="57">
        <f t="shared" si="153"/>
        <v>0</v>
      </c>
      <c r="M249" s="57">
        <f t="shared" si="153"/>
        <v>0</v>
      </c>
      <c r="N249" s="57">
        <f t="shared" si="153"/>
        <v>0</v>
      </c>
      <c r="O249" s="57">
        <f t="shared" si="153"/>
        <v>0</v>
      </c>
      <c r="P249" s="57">
        <f t="shared" si="153"/>
        <v>0</v>
      </c>
      <c r="Q249" s="57">
        <f t="shared" si="153"/>
        <v>0</v>
      </c>
      <c r="R249" s="57">
        <f t="shared" si="153"/>
        <v>0</v>
      </c>
      <c r="S249" s="57">
        <f t="shared" si="153"/>
        <v>0</v>
      </c>
      <c r="T249" s="57">
        <f t="shared" si="153"/>
        <v>0</v>
      </c>
      <c r="U249" s="57">
        <f t="shared" si="153"/>
        <v>0</v>
      </c>
      <c r="V249" s="57">
        <f t="shared" si="153"/>
        <v>0</v>
      </c>
      <c r="W249" s="57">
        <f t="shared" si="153"/>
        <v>0</v>
      </c>
      <c r="X249" s="57">
        <f t="shared" si="153"/>
        <v>0</v>
      </c>
      <c r="Y249" s="57">
        <f t="shared" si="153"/>
        <v>0</v>
      </c>
      <c r="Z249" s="57">
        <f t="shared" si="153"/>
        <v>0</v>
      </c>
      <c r="AA249" s="57">
        <f t="shared" si="153"/>
        <v>0</v>
      </c>
      <c r="AB249" s="57">
        <f t="shared" si="153"/>
        <v>0</v>
      </c>
      <c r="AC249" s="57">
        <f t="shared" si="153"/>
        <v>0</v>
      </c>
      <c r="AD249" s="57">
        <f t="shared" ref="AD249:AM249" si="154">(AD247+AD248)*$D249</f>
        <v>0</v>
      </c>
      <c r="AE249" s="57">
        <f t="shared" si="154"/>
        <v>0</v>
      </c>
      <c r="AF249" s="57">
        <f t="shared" si="154"/>
        <v>0</v>
      </c>
      <c r="AG249" s="57">
        <f t="shared" si="154"/>
        <v>0</v>
      </c>
      <c r="AH249" s="57">
        <f t="shared" si="154"/>
        <v>0</v>
      </c>
      <c r="AI249" s="57">
        <f t="shared" si="154"/>
        <v>0</v>
      </c>
      <c r="AJ249" s="57">
        <f t="shared" si="154"/>
        <v>0</v>
      </c>
      <c r="AK249" s="57">
        <f t="shared" si="154"/>
        <v>0</v>
      </c>
      <c r="AL249" s="57">
        <f t="shared" si="154"/>
        <v>0</v>
      </c>
      <c r="AM249" s="57">
        <f t="shared" si="154"/>
        <v>0</v>
      </c>
    </row>
    <row r="250" spans="2:39" ht="63.75" x14ac:dyDescent="0.2">
      <c r="B250" s="11"/>
      <c r="C250" s="51" t="s">
        <v>31</v>
      </c>
      <c r="D250" s="58" t="s">
        <v>32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</row>
    <row r="251" spans="2:39" x14ac:dyDescent="0.2">
      <c r="B251" s="11"/>
      <c r="C251" s="11"/>
      <c r="D251" s="11"/>
      <c r="E251" s="11"/>
      <c r="F251" s="15" t="s">
        <v>139</v>
      </c>
      <c r="G251" s="15" t="s">
        <v>11</v>
      </c>
      <c r="H251" s="15" t="s">
        <v>12</v>
      </c>
      <c r="I251" s="11"/>
      <c r="J251" s="15">
        <f>Start_Year</f>
        <v>2015</v>
      </c>
      <c r="K251" s="15">
        <f t="shared" ref="K251:AM251" si="155">J251+1</f>
        <v>2016</v>
      </c>
      <c r="L251" s="15">
        <f t="shared" si="155"/>
        <v>2017</v>
      </c>
      <c r="M251" s="15">
        <f t="shared" si="155"/>
        <v>2018</v>
      </c>
      <c r="N251" s="15">
        <f t="shared" si="155"/>
        <v>2019</v>
      </c>
      <c r="O251" s="15">
        <f t="shared" si="155"/>
        <v>2020</v>
      </c>
      <c r="P251" s="15">
        <f t="shared" si="155"/>
        <v>2021</v>
      </c>
      <c r="Q251" s="15">
        <f t="shared" si="155"/>
        <v>2022</v>
      </c>
      <c r="R251" s="15">
        <f t="shared" si="155"/>
        <v>2023</v>
      </c>
      <c r="S251" s="15">
        <f t="shared" si="155"/>
        <v>2024</v>
      </c>
      <c r="T251" s="15">
        <f t="shared" si="155"/>
        <v>2025</v>
      </c>
      <c r="U251" s="15">
        <f t="shared" si="155"/>
        <v>2026</v>
      </c>
      <c r="V251" s="15">
        <f t="shared" si="155"/>
        <v>2027</v>
      </c>
      <c r="W251" s="15">
        <f t="shared" si="155"/>
        <v>2028</v>
      </c>
      <c r="X251" s="15">
        <f t="shared" si="155"/>
        <v>2029</v>
      </c>
      <c r="Y251" s="15">
        <f t="shared" si="155"/>
        <v>2030</v>
      </c>
      <c r="Z251" s="15">
        <f t="shared" si="155"/>
        <v>2031</v>
      </c>
      <c r="AA251" s="15">
        <f t="shared" si="155"/>
        <v>2032</v>
      </c>
      <c r="AB251" s="15">
        <f t="shared" si="155"/>
        <v>2033</v>
      </c>
      <c r="AC251" s="15">
        <f t="shared" si="155"/>
        <v>2034</v>
      </c>
      <c r="AD251" s="15">
        <f t="shared" si="155"/>
        <v>2035</v>
      </c>
      <c r="AE251" s="15">
        <f t="shared" si="155"/>
        <v>2036</v>
      </c>
      <c r="AF251" s="15">
        <f t="shared" si="155"/>
        <v>2037</v>
      </c>
      <c r="AG251" s="15">
        <f t="shared" si="155"/>
        <v>2038</v>
      </c>
      <c r="AH251" s="15">
        <f t="shared" si="155"/>
        <v>2039</v>
      </c>
      <c r="AI251" s="15">
        <f t="shared" si="155"/>
        <v>2040</v>
      </c>
      <c r="AJ251" s="15">
        <f t="shared" si="155"/>
        <v>2041</v>
      </c>
      <c r="AK251" s="15">
        <f t="shared" si="155"/>
        <v>2042</v>
      </c>
      <c r="AL251" s="15">
        <f t="shared" si="155"/>
        <v>2043</v>
      </c>
      <c r="AM251" s="15">
        <f t="shared" si="155"/>
        <v>2044</v>
      </c>
    </row>
    <row r="252" spans="2:39" x14ac:dyDescent="0.2">
      <c r="B252" s="10" t="s">
        <v>73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</row>
    <row r="253" spans="2:39" x14ac:dyDescent="0.2">
      <c r="B253" s="11"/>
      <c r="C253" s="51" t="s">
        <v>14</v>
      </c>
      <c r="D253" s="53">
        <f>D254*D255</f>
        <v>4400000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</row>
    <row r="254" spans="2:39" x14ac:dyDescent="0.2">
      <c r="B254" s="11"/>
      <c r="C254" s="51" t="s">
        <v>34</v>
      </c>
      <c r="D254" s="16">
        <v>50000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</row>
    <row r="255" spans="2:39" x14ac:dyDescent="0.2">
      <c r="B255" s="11"/>
      <c r="C255" s="51" t="s">
        <v>16</v>
      </c>
      <c r="D255" s="17">
        <v>88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</row>
    <row r="256" spans="2:39" x14ac:dyDescent="0.2">
      <c r="B256" s="11"/>
      <c r="C256" s="51" t="s">
        <v>17</v>
      </c>
      <c r="D256" s="48" t="s">
        <v>65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</row>
    <row r="257" spans="2:39" x14ac:dyDescent="0.2">
      <c r="B257" s="11"/>
      <c r="C257" s="51" t="s">
        <v>36</v>
      </c>
      <c r="D257" s="18">
        <v>42005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</row>
    <row r="258" spans="2:39" x14ac:dyDescent="0.2">
      <c r="B258" s="11"/>
      <c r="C258" s="51" t="s">
        <v>37</v>
      </c>
      <c r="D258" s="18">
        <v>42370</v>
      </c>
      <c r="E258" s="11"/>
      <c r="F258" s="48" t="s">
        <v>21</v>
      </c>
      <c r="G258" s="51"/>
      <c r="H258" s="51"/>
      <c r="I258" s="11"/>
      <c r="J258" s="20">
        <f t="shared" ref="J258:AC258" si="156">(MIN(MAX($D258,DATE(J$47,1,1)),DATE(J$47+1,1,1))-MIN(MAX($D257,DATE(J$47,1,1)),DATE(J$47+1,1,1)))</f>
        <v>365</v>
      </c>
      <c r="K258" s="20">
        <f t="shared" si="156"/>
        <v>0</v>
      </c>
      <c r="L258" s="20">
        <f t="shared" si="156"/>
        <v>0</v>
      </c>
      <c r="M258" s="20">
        <f t="shared" si="156"/>
        <v>0</v>
      </c>
      <c r="N258" s="20">
        <f t="shared" si="156"/>
        <v>0</v>
      </c>
      <c r="O258" s="20">
        <f t="shared" si="156"/>
        <v>0</v>
      </c>
      <c r="P258" s="20">
        <f t="shared" si="156"/>
        <v>0</v>
      </c>
      <c r="Q258" s="20">
        <f t="shared" si="156"/>
        <v>0</v>
      </c>
      <c r="R258" s="20">
        <f t="shared" si="156"/>
        <v>0</v>
      </c>
      <c r="S258" s="20">
        <f t="shared" si="156"/>
        <v>0</v>
      </c>
      <c r="T258" s="20">
        <f t="shared" si="156"/>
        <v>0</v>
      </c>
      <c r="U258" s="20">
        <f t="shared" si="156"/>
        <v>0</v>
      </c>
      <c r="V258" s="20">
        <f t="shared" si="156"/>
        <v>0</v>
      </c>
      <c r="W258" s="20">
        <f t="shared" si="156"/>
        <v>0</v>
      </c>
      <c r="X258" s="20">
        <f t="shared" si="156"/>
        <v>0</v>
      </c>
      <c r="Y258" s="20">
        <f t="shared" si="156"/>
        <v>0</v>
      </c>
      <c r="Z258" s="20">
        <f t="shared" si="156"/>
        <v>0</v>
      </c>
      <c r="AA258" s="20">
        <f t="shared" si="156"/>
        <v>0</v>
      </c>
      <c r="AB258" s="20">
        <f t="shared" si="156"/>
        <v>0</v>
      </c>
      <c r="AC258" s="20">
        <f t="shared" si="156"/>
        <v>0</v>
      </c>
      <c r="AD258" s="20">
        <f t="shared" ref="AD258:AM258" si="157">(MIN(MAX($D258,DATE(AD$47,1,1)),DATE(AD$47+1,1,1))-MIN(MAX($D257,DATE(AD$47,1,1)),DATE(AD$47+1,1,1)))</f>
        <v>0</v>
      </c>
      <c r="AE258" s="20">
        <f t="shared" si="157"/>
        <v>0</v>
      </c>
      <c r="AF258" s="20">
        <f t="shared" si="157"/>
        <v>0</v>
      </c>
      <c r="AG258" s="20">
        <f t="shared" si="157"/>
        <v>0</v>
      </c>
      <c r="AH258" s="20">
        <f t="shared" si="157"/>
        <v>0</v>
      </c>
      <c r="AI258" s="20">
        <f t="shared" si="157"/>
        <v>0</v>
      </c>
      <c r="AJ258" s="20">
        <f t="shared" si="157"/>
        <v>0</v>
      </c>
      <c r="AK258" s="20">
        <f t="shared" si="157"/>
        <v>0</v>
      </c>
      <c r="AL258" s="20">
        <f t="shared" si="157"/>
        <v>0</v>
      </c>
      <c r="AM258" s="20">
        <f t="shared" si="157"/>
        <v>0</v>
      </c>
    </row>
    <row r="259" spans="2:39" x14ac:dyDescent="0.2">
      <c r="B259" s="11"/>
      <c r="C259" s="51" t="s">
        <v>22</v>
      </c>
      <c r="D259" s="54">
        <f>D258-D257</f>
        <v>365</v>
      </c>
      <c r="E259" s="11"/>
      <c r="F259" s="48" t="s">
        <v>23</v>
      </c>
      <c r="G259" s="51" t="s">
        <v>74</v>
      </c>
      <c r="H259" s="51" t="str">
        <f ca="1">IFERROR(INDEX(CES_Short,MATCH(Parameters!G259,CES_Pick,0)),"")</f>
        <v>New Bridge</v>
      </c>
      <c r="I259" s="11"/>
      <c r="J259" s="53">
        <f t="shared" ref="J259:AC259" si="158">$D253*J258/SUM($J258:$AC258)</f>
        <v>4400000</v>
      </c>
      <c r="K259" s="53">
        <f t="shared" si="158"/>
        <v>0</v>
      </c>
      <c r="L259" s="53">
        <f t="shared" si="158"/>
        <v>0</v>
      </c>
      <c r="M259" s="53">
        <f t="shared" si="158"/>
        <v>0</v>
      </c>
      <c r="N259" s="53">
        <f t="shared" si="158"/>
        <v>0</v>
      </c>
      <c r="O259" s="53">
        <f t="shared" si="158"/>
        <v>0</v>
      </c>
      <c r="P259" s="53">
        <f t="shared" si="158"/>
        <v>0</v>
      </c>
      <c r="Q259" s="53">
        <f t="shared" si="158"/>
        <v>0</v>
      </c>
      <c r="R259" s="53">
        <f t="shared" si="158"/>
        <v>0</v>
      </c>
      <c r="S259" s="53">
        <f t="shared" si="158"/>
        <v>0</v>
      </c>
      <c r="T259" s="53">
        <f t="shared" si="158"/>
        <v>0</v>
      </c>
      <c r="U259" s="53">
        <f t="shared" si="158"/>
        <v>0</v>
      </c>
      <c r="V259" s="53">
        <f t="shared" si="158"/>
        <v>0</v>
      </c>
      <c r="W259" s="53">
        <f t="shared" si="158"/>
        <v>0</v>
      </c>
      <c r="X259" s="53">
        <f t="shared" si="158"/>
        <v>0</v>
      </c>
      <c r="Y259" s="53">
        <f t="shared" si="158"/>
        <v>0</v>
      </c>
      <c r="Z259" s="53">
        <f t="shared" si="158"/>
        <v>0</v>
      </c>
      <c r="AA259" s="53">
        <f t="shared" si="158"/>
        <v>0</v>
      </c>
      <c r="AB259" s="53">
        <f t="shared" si="158"/>
        <v>0</v>
      </c>
      <c r="AC259" s="53">
        <f t="shared" si="158"/>
        <v>0</v>
      </c>
      <c r="AD259" s="53">
        <f t="shared" ref="AD259:AM259" si="159">$D253*AD258/SUM($J258:$AC258)</f>
        <v>0</v>
      </c>
      <c r="AE259" s="53">
        <f t="shared" si="159"/>
        <v>0</v>
      </c>
      <c r="AF259" s="53">
        <f t="shared" si="159"/>
        <v>0</v>
      </c>
      <c r="AG259" s="53">
        <f t="shared" si="159"/>
        <v>0</v>
      </c>
      <c r="AH259" s="53">
        <f t="shared" si="159"/>
        <v>0</v>
      </c>
      <c r="AI259" s="53">
        <f t="shared" si="159"/>
        <v>0</v>
      </c>
      <c r="AJ259" s="53">
        <f t="shared" si="159"/>
        <v>0</v>
      </c>
      <c r="AK259" s="53">
        <f t="shared" si="159"/>
        <v>0</v>
      </c>
      <c r="AL259" s="53">
        <f t="shared" si="159"/>
        <v>0</v>
      </c>
      <c r="AM259" s="53">
        <f t="shared" si="159"/>
        <v>0</v>
      </c>
    </row>
    <row r="260" spans="2:39" x14ac:dyDescent="0.2">
      <c r="B260" s="11"/>
      <c r="C260" s="55" t="s">
        <v>25</v>
      </c>
      <c r="D260" s="19">
        <v>0.1</v>
      </c>
      <c r="E260" s="11"/>
      <c r="F260" s="56" t="s">
        <v>26</v>
      </c>
      <c r="G260" s="51" t="s">
        <v>27</v>
      </c>
      <c r="H260" s="51" t="str">
        <f ca="1">IFERROR(INDEX(CES_Short,MATCH(Parameters!G260,CES_Pick,0)),"")</f>
        <v>Mobilization</v>
      </c>
      <c r="I260" s="11"/>
      <c r="J260" s="57">
        <f t="shared" ref="J260:AC260" si="160">J259*$D260</f>
        <v>440000</v>
      </c>
      <c r="K260" s="57">
        <f t="shared" si="160"/>
        <v>0</v>
      </c>
      <c r="L260" s="57">
        <f t="shared" si="160"/>
        <v>0</v>
      </c>
      <c r="M260" s="57">
        <f t="shared" si="160"/>
        <v>0</v>
      </c>
      <c r="N260" s="57">
        <f t="shared" si="160"/>
        <v>0</v>
      </c>
      <c r="O260" s="57">
        <f t="shared" si="160"/>
        <v>0</v>
      </c>
      <c r="P260" s="57">
        <f t="shared" si="160"/>
        <v>0</v>
      </c>
      <c r="Q260" s="57">
        <f t="shared" si="160"/>
        <v>0</v>
      </c>
      <c r="R260" s="57">
        <f t="shared" si="160"/>
        <v>0</v>
      </c>
      <c r="S260" s="57">
        <f t="shared" si="160"/>
        <v>0</v>
      </c>
      <c r="T260" s="57">
        <f t="shared" si="160"/>
        <v>0</v>
      </c>
      <c r="U260" s="57">
        <f t="shared" si="160"/>
        <v>0</v>
      </c>
      <c r="V260" s="57">
        <f t="shared" si="160"/>
        <v>0</v>
      </c>
      <c r="W260" s="57">
        <f t="shared" si="160"/>
        <v>0</v>
      </c>
      <c r="X260" s="57">
        <f t="shared" si="160"/>
        <v>0</v>
      </c>
      <c r="Y260" s="57">
        <f t="shared" si="160"/>
        <v>0</v>
      </c>
      <c r="Z260" s="57">
        <f t="shared" si="160"/>
        <v>0</v>
      </c>
      <c r="AA260" s="57">
        <f t="shared" si="160"/>
        <v>0</v>
      </c>
      <c r="AB260" s="57">
        <f t="shared" si="160"/>
        <v>0</v>
      </c>
      <c r="AC260" s="57">
        <f t="shared" si="160"/>
        <v>0</v>
      </c>
      <c r="AD260" s="57">
        <f t="shared" ref="AD260:AM260" si="161">AD259*$D260</f>
        <v>0</v>
      </c>
      <c r="AE260" s="57">
        <f t="shared" si="161"/>
        <v>0</v>
      </c>
      <c r="AF260" s="57">
        <f t="shared" si="161"/>
        <v>0</v>
      </c>
      <c r="AG260" s="57">
        <f t="shared" si="161"/>
        <v>0</v>
      </c>
      <c r="AH260" s="57">
        <f t="shared" si="161"/>
        <v>0</v>
      </c>
      <c r="AI260" s="57">
        <f t="shared" si="161"/>
        <v>0</v>
      </c>
      <c r="AJ260" s="57">
        <f t="shared" si="161"/>
        <v>0</v>
      </c>
      <c r="AK260" s="57">
        <f t="shared" si="161"/>
        <v>0</v>
      </c>
      <c r="AL260" s="57">
        <f t="shared" si="161"/>
        <v>0</v>
      </c>
      <c r="AM260" s="57">
        <f t="shared" si="161"/>
        <v>0</v>
      </c>
    </row>
    <row r="261" spans="2:39" x14ac:dyDescent="0.2">
      <c r="B261" s="11"/>
      <c r="C261" s="55" t="s">
        <v>28</v>
      </c>
      <c r="D261" s="19">
        <v>0.35</v>
      </c>
      <c r="E261" s="11"/>
      <c r="F261" s="56" t="s">
        <v>29</v>
      </c>
      <c r="G261" s="51" t="s">
        <v>30</v>
      </c>
      <c r="H261" s="51" t="str">
        <f ca="1">IFERROR(INDEX(CES_Short,MATCH(Parameters!G261,CES_Pick,0)),"")</f>
        <v>Contingency</v>
      </c>
      <c r="I261" s="11"/>
      <c r="J261" s="57">
        <f t="shared" ref="J261:AC261" si="162">(J259+J260)*$D261</f>
        <v>1694000</v>
      </c>
      <c r="K261" s="57">
        <f t="shared" si="162"/>
        <v>0</v>
      </c>
      <c r="L261" s="57">
        <f t="shared" si="162"/>
        <v>0</v>
      </c>
      <c r="M261" s="57">
        <f t="shared" si="162"/>
        <v>0</v>
      </c>
      <c r="N261" s="57">
        <f t="shared" si="162"/>
        <v>0</v>
      </c>
      <c r="O261" s="57">
        <f t="shared" si="162"/>
        <v>0</v>
      </c>
      <c r="P261" s="57">
        <f t="shared" si="162"/>
        <v>0</v>
      </c>
      <c r="Q261" s="57">
        <f t="shared" si="162"/>
        <v>0</v>
      </c>
      <c r="R261" s="57">
        <f t="shared" si="162"/>
        <v>0</v>
      </c>
      <c r="S261" s="57">
        <f t="shared" si="162"/>
        <v>0</v>
      </c>
      <c r="T261" s="57">
        <f t="shared" si="162"/>
        <v>0</v>
      </c>
      <c r="U261" s="57">
        <f t="shared" si="162"/>
        <v>0</v>
      </c>
      <c r="V261" s="57">
        <f t="shared" si="162"/>
        <v>0</v>
      </c>
      <c r="W261" s="57">
        <f t="shared" si="162"/>
        <v>0</v>
      </c>
      <c r="X261" s="57">
        <f t="shared" si="162"/>
        <v>0</v>
      </c>
      <c r="Y261" s="57">
        <f t="shared" si="162"/>
        <v>0</v>
      </c>
      <c r="Z261" s="57">
        <f t="shared" si="162"/>
        <v>0</v>
      </c>
      <c r="AA261" s="57">
        <f t="shared" si="162"/>
        <v>0</v>
      </c>
      <c r="AB261" s="57">
        <f t="shared" si="162"/>
        <v>0</v>
      </c>
      <c r="AC261" s="57">
        <f t="shared" si="162"/>
        <v>0</v>
      </c>
      <c r="AD261" s="57">
        <f t="shared" ref="AD261:AM261" si="163">(AD259+AD260)*$D261</f>
        <v>0</v>
      </c>
      <c r="AE261" s="57">
        <f t="shared" si="163"/>
        <v>0</v>
      </c>
      <c r="AF261" s="57">
        <f t="shared" si="163"/>
        <v>0</v>
      </c>
      <c r="AG261" s="57">
        <f t="shared" si="163"/>
        <v>0</v>
      </c>
      <c r="AH261" s="57">
        <f t="shared" si="163"/>
        <v>0</v>
      </c>
      <c r="AI261" s="57">
        <f t="shared" si="163"/>
        <v>0</v>
      </c>
      <c r="AJ261" s="57">
        <f t="shared" si="163"/>
        <v>0</v>
      </c>
      <c r="AK261" s="57">
        <f t="shared" si="163"/>
        <v>0</v>
      </c>
      <c r="AL261" s="57">
        <f t="shared" si="163"/>
        <v>0</v>
      </c>
      <c r="AM261" s="57">
        <f t="shared" si="163"/>
        <v>0</v>
      </c>
    </row>
    <row r="262" spans="2:39" ht="63.75" x14ac:dyDescent="0.2">
      <c r="B262" s="11"/>
      <c r="C262" s="51" t="s">
        <v>31</v>
      </c>
      <c r="D262" s="58" t="s">
        <v>32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</row>
    <row r="263" spans="2:39" x14ac:dyDescent="0.2">
      <c r="B263" s="11"/>
      <c r="C263" s="11"/>
      <c r="D263" s="11"/>
      <c r="E263" s="11"/>
      <c r="F263" s="15" t="s">
        <v>139</v>
      </c>
      <c r="G263" s="15" t="s">
        <v>11</v>
      </c>
      <c r="H263" s="15" t="s">
        <v>12</v>
      </c>
      <c r="I263" s="11"/>
      <c r="J263" s="15">
        <f>Start_Year</f>
        <v>2015</v>
      </c>
      <c r="K263" s="15">
        <f t="shared" ref="K263:AM263" si="164">J263+1</f>
        <v>2016</v>
      </c>
      <c r="L263" s="15">
        <f t="shared" si="164"/>
        <v>2017</v>
      </c>
      <c r="M263" s="15">
        <f t="shared" si="164"/>
        <v>2018</v>
      </c>
      <c r="N263" s="15">
        <f t="shared" si="164"/>
        <v>2019</v>
      </c>
      <c r="O263" s="15">
        <f t="shared" si="164"/>
        <v>2020</v>
      </c>
      <c r="P263" s="15">
        <f t="shared" si="164"/>
        <v>2021</v>
      </c>
      <c r="Q263" s="15">
        <f t="shared" si="164"/>
        <v>2022</v>
      </c>
      <c r="R263" s="15">
        <f t="shared" si="164"/>
        <v>2023</v>
      </c>
      <c r="S263" s="15">
        <f t="shared" si="164"/>
        <v>2024</v>
      </c>
      <c r="T263" s="15">
        <f t="shared" si="164"/>
        <v>2025</v>
      </c>
      <c r="U263" s="15">
        <f t="shared" si="164"/>
        <v>2026</v>
      </c>
      <c r="V263" s="15">
        <f t="shared" si="164"/>
        <v>2027</v>
      </c>
      <c r="W263" s="15">
        <f t="shared" si="164"/>
        <v>2028</v>
      </c>
      <c r="X263" s="15">
        <f t="shared" si="164"/>
        <v>2029</v>
      </c>
      <c r="Y263" s="15">
        <f t="shared" si="164"/>
        <v>2030</v>
      </c>
      <c r="Z263" s="15">
        <f t="shared" si="164"/>
        <v>2031</v>
      </c>
      <c r="AA263" s="15">
        <f t="shared" si="164"/>
        <v>2032</v>
      </c>
      <c r="AB263" s="15">
        <f t="shared" si="164"/>
        <v>2033</v>
      </c>
      <c r="AC263" s="15">
        <f t="shared" si="164"/>
        <v>2034</v>
      </c>
      <c r="AD263" s="15">
        <f t="shared" si="164"/>
        <v>2035</v>
      </c>
      <c r="AE263" s="15">
        <f t="shared" si="164"/>
        <v>2036</v>
      </c>
      <c r="AF263" s="15">
        <f t="shared" si="164"/>
        <v>2037</v>
      </c>
      <c r="AG263" s="15">
        <f t="shared" si="164"/>
        <v>2038</v>
      </c>
      <c r="AH263" s="15">
        <f t="shared" si="164"/>
        <v>2039</v>
      </c>
      <c r="AI263" s="15">
        <f t="shared" si="164"/>
        <v>2040</v>
      </c>
      <c r="AJ263" s="15">
        <f t="shared" si="164"/>
        <v>2041</v>
      </c>
      <c r="AK263" s="15">
        <f t="shared" si="164"/>
        <v>2042</v>
      </c>
      <c r="AL263" s="15">
        <f t="shared" si="164"/>
        <v>2043</v>
      </c>
      <c r="AM263" s="15">
        <f t="shared" si="164"/>
        <v>2044</v>
      </c>
    </row>
    <row r="264" spans="2:39" x14ac:dyDescent="0.2">
      <c r="B264" s="10" t="s">
        <v>75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</row>
    <row r="265" spans="2:39" x14ac:dyDescent="0.2">
      <c r="B265" s="11"/>
      <c r="C265" s="51" t="s">
        <v>14</v>
      </c>
      <c r="D265" s="53">
        <f>D266*D267</f>
        <v>100000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</row>
    <row r="266" spans="2:39" x14ac:dyDescent="0.2">
      <c r="B266" s="11"/>
      <c r="C266" s="51" t="s">
        <v>34</v>
      </c>
      <c r="D266" s="16">
        <v>100000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</row>
    <row r="267" spans="2:39" x14ac:dyDescent="0.2">
      <c r="B267" s="11"/>
      <c r="C267" s="51" t="s">
        <v>16</v>
      </c>
      <c r="D267" s="17">
        <v>1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</row>
    <row r="268" spans="2:39" x14ac:dyDescent="0.2">
      <c r="B268" s="11"/>
      <c r="C268" s="51" t="s">
        <v>17</v>
      </c>
      <c r="D268" s="48" t="s">
        <v>62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</row>
    <row r="269" spans="2:39" x14ac:dyDescent="0.2">
      <c r="B269" s="11"/>
      <c r="C269" s="51" t="s">
        <v>36</v>
      </c>
      <c r="D269" s="18">
        <v>42005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</row>
    <row r="270" spans="2:39" x14ac:dyDescent="0.2">
      <c r="B270" s="11"/>
      <c r="C270" s="51" t="s">
        <v>37</v>
      </c>
      <c r="D270" s="18">
        <v>42370</v>
      </c>
      <c r="E270" s="11"/>
      <c r="F270" s="48" t="s">
        <v>21</v>
      </c>
      <c r="G270" s="51"/>
      <c r="H270" s="51"/>
      <c r="I270" s="11"/>
      <c r="J270" s="20">
        <f t="shared" ref="J270:AC270" si="165">(MIN(MAX($D270,DATE(J$47,1,1)),DATE(J$47+1,1,1))-MIN(MAX($D269,DATE(J$47,1,1)),DATE(J$47+1,1,1)))</f>
        <v>365</v>
      </c>
      <c r="K270" s="20">
        <f t="shared" si="165"/>
        <v>0</v>
      </c>
      <c r="L270" s="20">
        <f t="shared" si="165"/>
        <v>0</v>
      </c>
      <c r="M270" s="20">
        <f t="shared" si="165"/>
        <v>0</v>
      </c>
      <c r="N270" s="20">
        <f t="shared" si="165"/>
        <v>0</v>
      </c>
      <c r="O270" s="20">
        <f t="shared" si="165"/>
        <v>0</v>
      </c>
      <c r="P270" s="20">
        <f t="shared" si="165"/>
        <v>0</v>
      </c>
      <c r="Q270" s="20">
        <f t="shared" si="165"/>
        <v>0</v>
      </c>
      <c r="R270" s="20">
        <f t="shared" si="165"/>
        <v>0</v>
      </c>
      <c r="S270" s="20">
        <f t="shared" si="165"/>
        <v>0</v>
      </c>
      <c r="T270" s="20">
        <f t="shared" si="165"/>
        <v>0</v>
      </c>
      <c r="U270" s="20">
        <f t="shared" si="165"/>
        <v>0</v>
      </c>
      <c r="V270" s="20">
        <f t="shared" si="165"/>
        <v>0</v>
      </c>
      <c r="W270" s="20">
        <f t="shared" si="165"/>
        <v>0</v>
      </c>
      <c r="X270" s="20">
        <f t="shared" si="165"/>
        <v>0</v>
      </c>
      <c r="Y270" s="20">
        <f t="shared" si="165"/>
        <v>0</v>
      </c>
      <c r="Z270" s="20">
        <f t="shared" si="165"/>
        <v>0</v>
      </c>
      <c r="AA270" s="20">
        <f t="shared" si="165"/>
        <v>0</v>
      </c>
      <c r="AB270" s="20">
        <f t="shared" si="165"/>
        <v>0</v>
      </c>
      <c r="AC270" s="20">
        <f t="shared" si="165"/>
        <v>0</v>
      </c>
      <c r="AD270" s="20">
        <f t="shared" ref="AD270:AM270" si="166">(MIN(MAX($D270,DATE(AD$47,1,1)),DATE(AD$47+1,1,1))-MIN(MAX($D269,DATE(AD$47,1,1)),DATE(AD$47+1,1,1)))</f>
        <v>0</v>
      </c>
      <c r="AE270" s="20">
        <f t="shared" si="166"/>
        <v>0</v>
      </c>
      <c r="AF270" s="20">
        <f t="shared" si="166"/>
        <v>0</v>
      </c>
      <c r="AG270" s="20">
        <f t="shared" si="166"/>
        <v>0</v>
      </c>
      <c r="AH270" s="20">
        <f t="shared" si="166"/>
        <v>0</v>
      </c>
      <c r="AI270" s="20">
        <f t="shared" si="166"/>
        <v>0</v>
      </c>
      <c r="AJ270" s="20">
        <f t="shared" si="166"/>
        <v>0</v>
      </c>
      <c r="AK270" s="20">
        <f t="shared" si="166"/>
        <v>0</v>
      </c>
      <c r="AL270" s="20">
        <f t="shared" si="166"/>
        <v>0</v>
      </c>
      <c r="AM270" s="20">
        <f t="shared" si="166"/>
        <v>0</v>
      </c>
    </row>
    <row r="271" spans="2:39" x14ac:dyDescent="0.2">
      <c r="B271" s="11"/>
      <c r="C271" s="51" t="s">
        <v>22</v>
      </c>
      <c r="D271" s="54">
        <f>D270-D269</f>
        <v>365</v>
      </c>
      <c r="E271" s="11"/>
      <c r="F271" s="48" t="s">
        <v>23</v>
      </c>
      <c r="G271" s="51" t="s">
        <v>76</v>
      </c>
      <c r="H271" s="51" t="str">
        <f ca="1">IFERROR(INDEX(CES_Short,MATCH(Parameters!G271,CES_Pick,0)),"")</f>
        <v>Traffic Control</v>
      </c>
      <c r="I271" s="11"/>
      <c r="J271" s="53">
        <f t="shared" ref="J271:AC271" si="167">$D265*J270/SUM($J270:$AC270)</f>
        <v>100000</v>
      </c>
      <c r="K271" s="53">
        <f t="shared" si="167"/>
        <v>0</v>
      </c>
      <c r="L271" s="53">
        <f t="shared" si="167"/>
        <v>0</v>
      </c>
      <c r="M271" s="53">
        <f t="shared" si="167"/>
        <v>0</v>
      </c>
      <c r="N271" s="53">
        <f t="shared" si="167"/>
        <v>0</v>
      </c>
      <c r="O271" s="53">
        <f t="shared" si="167"/>
        <v>0</v>
      </c>
      <c r="P271" s="53">
        <f t="shared" si="167"/>
        <v>0</v>
      </c>
      <c r="Q271" s="53">
        <f t="shared" si="167"/>
        <v>0</v>
      </c>
      <c r="R271" s="53">
        <f t="shared" si="167"/>
        <v>0</v>
      </c>
      <c r="S271" s="53">
        <f t="shared" si="167"/>
        <v>0</v>
      </c>
      <c r="T271" s="53">
        <f t="shared" si="167"/>
        <v>0</v>
      </c>
      <c r="U271" s="53">
        <f t="shared" si="167"/>
        <v>0</v>
      </c>
      <c r="V271" s="53">
        <f t="shared" si="167"/>
        <v>0</v>
      </c>
      <c r="W271" s="53">
        <f t="shared" si="167"/>
        <v>0</v>
      </c>
      <c r="X271" s="53">
        <f t="shared" si="167"/>
        <v>0</v>
      </c>
      <c r="Y271" s="53">
        <f t="shared" si="167"/>
        <v>0</v>
      </c>
      <c r="Z271" s="53">
        <f t="shared" si="167"/>
        <v>0</v>
      </c>
      <c r="AA271" s="53">
        <f t="shared" si="167"/>
        <v>0</v>
      </c>
      <c r="AB271" s="53">
        <f t="shared" si="167"/>
        <v>0</v>
      </c>
      <c r="AC271" s="53">
        <f t="shared" si="167"/>
        <v>0</v>
      </c>
      <c r="AD271" s="53">
        <f t="shared" ref="AD271:AM271" si="168">$D265*AD270/SUM($J270:$AC270)</f>
        <v>0</v>
      </c>
      <c r="AE271" s="53">
        <f t="shared" si="168"/>
        <v>0</v>
      </c>
      <c r="AF271" s="53">
        <f t="shared" si="168"/>
        <v>0</v>
      </c>
      <c r="AG271" s="53">
        <f t="shared" si="168"/>
        <v>0</v>
      </c>
      <c r="AH271" s="53">
        <f t="shared" si="168"/>
        <v>0</v>
      </c>
      <c r="AI271" s="53">
        <f t="shared" si="168"/>
        <v>0</v>
      </c>
      <c r="AJ271" s="53">
        <f t="shared" si="168"/>
        <v>0</v>
      </c>
      <c r="AK271" s="53">
        <f t="shared" si="168"/>
        <v>0</v>
      </c>
      <c r="AL271" s="53">
        <f t="shared" si="168"/>
        <v>0</v>
      </c>
      <c r="AM271" s="53">
        <f t="shared" si="168"/>
        <v>0</v>
      </c>
    </row>
    <row r="272" spans="2:39" x14ac:dyDescent="0.2">
      <c r="B272" s="11"/>
      <c r="C272" s="55" t="s">
        <v>25</v>
      </c>
      <c r="D272" s="19">
        <v>0.1</v>
      </c>
      <c r="E272" s="11"/>
      <c r="F272" s="56" t="s">
        <v>26</v>
      </c>
      <c r="G272" s="51" t="s">
        <v>27</v>
      </c>
      <c r="H272" s="51" t="str">
        <f ca="1">IFERROR(INDEX(CES_Short,MATCH(Parameters!G272,CES_Pick,0)),"")</f>
        <v>Mobilization</v>
      </c>
      <c r="I272" s="11"/>
      <c r="J272" s="57">
        <f t="shared" ref="J272:AC272" si="169">J271*$D272</f>
        <v>10000</v>
      </c>
      <c r="K272" s="57">
        <f t="shared" si="169"/>
        <v>0</v>
      </c>
      <c r="L272" s="57">
        <f t="shared" si="169"/>
        <v>0</v>
      </c>
      <c r="M272" s="57">
        <f t="shared" si="169"/>
        <v>0</v>
      </c>
      <c r="N272" s="57">
        <f t="shared" si="169"/>
        <v>0</v>
      </c>
      <c r="O272" s="57">
        <f t="shared" si="169"/>
        <v>0</v>
      </c>
      <c r="P272" s="57">
        <f t="shared" si="169"/>
        <v>0</v>
      </c>
      <c r="Q272" s="57">
        <f t="shared" si="169"/>
        <v>0</v>
      </c>
      <c r="R272" s="57">
        <f t="shared" si="169"/>
        <v>0</v>
      </c>
      <c r="S272" s="57">
        <f t="shared" si="169"/>
        <v>0</v>
      </c>
      <c r="T272" s="57">
        <f t="shared" si="169"/>
        <v>0</v>
      </c>
      <c r="U272" s="57">
        <f t="shared" si="169"/>
        <v>0</v>
      </c>
      <c r="V272" s="57">
        <f t="shared" si="169"/>
        <v>0</v>
      </c>
      <c r="W272" s="57">
        <f t="shared" si="169"/>
        <v>0</v>
      </c>
      <c r="X272" s="57">
        <f t="shared" si="169"/>
        <v>0</v>
      </c>
      <c r="Y272" s="57">
        <f t="shared" si="169"/>
        <v>0</v>
      </c>
      <c r="Z272" s="57">
        <f t="shared" si="169"/>
        <v>0</v>
      </c>
      <c r="AA272" s="57">
        <f t="shared" si="169"/>
        <v>0</v>
      </c>
      <c r="AB272" s="57">
        <f t="shared" si="169"/>
        <v>0</v>
      </c>
      <c r="AC272" s="57">
        <f t="shared" si="169"/>
        <v>0</v>
      </c>
      <c r="AD272" s="57">
        <f t="shared" ref="AD272:AM272" si="170">AD271*$D272</f>
        <v>0</v>
      </c>
      <c r="AE272" s="57">
        <f t="shared" si="170"/>
        <v>0</v>
      </c>
      <c r="AF272" s="57">
        <f t="shared" si="170"/>
        <v>0</v>
      </c>
      <c r="AG272" s="57">
        <f t="shared" si="170"/>
        <v>0</v>
      </c>
      <c r="AH272" s="57">
        <f t="shared" si="170"/>
        <v>0</v>
      </c>
      <c r="AI272" s="57">
        <f t="shared" si="170"/>
        <v>0</v>
      </c>
      <c r="AJ272" s="57">
        <f t="shared" si="170"/>
        <v>0</v>
      </c>
      <c r="AK272" s="57">
        <f t="shared" si="170"/>
        <v>0</v>
      </c>
      <c r="AL272" s="57">
        <f t="shared" si="170"/>
        <v>0</v>
      </c>
      <c r="AM272" s="57">
        <f t="shared" si="170"/>
        <v>0</v>
      </c>
    </row>
    <row r="273" spans="2:39" x14ac:dyDescent="0.2">
      <c r="B273" s="11"/>
      <c r="C273" s="55" t="s">
        <v>28</v>
      </c>
      <c r="D273" s="19">
        <v>0.35</v>
      </c>
      <c r="E273" s="11"/>
      <c r="F273" s="56" t="s">
        <v>29</v>
      </c>
      <c r="G273" s="51" t="s">
        <v>30</v>
      </c>
      <c r="H273" s="51" t="str">
        <f ca="1">IFERROR(INDEX(CES_Short,MATCH(Parameters!G273,CES_Pick,0)),"")</f>
        <v>Contingency</v>
      </c>
      <c r="I273" s="11"/>
      <c r="J273" s="57">
        <f t="shared" ref="J273:AC273" si="171">(J271+J272)*$D273</f>
        <v>38500</v>
      </c>
      <c r="K273" s="57">
        <f t="shared" si="171"/>
        <v>0</v>
      </c>
      <c r="L273" s="57">
        <f t="shared" si="171"/>
        <v>0</v>
      </c>
      <c r="M273" s="57">
        <f t="shared" si="171"/>
        <v>0</v>
      </c>
      <c r="N273" s="57">
        <f t="shared" si="171"/>
        <v>0</v>
      </c>
      <c r="O273" s="57">
        <f t="shared" si="171"/>
        <v>0</v>
      </c>
      <c r="P273" s="57">
        <f t="shared" si="171"/>
        <v>0</v>
      </c>
      <c r="Q273" s="57">
        <f t="shared" si="171"/>
        <v>0</v>
      </c>
      <c r="R273" s="57">
        <f t="shared" si="171"/>
        <v>0</v>
      </c>
      <c r="S273" s="57">
        <f t="shared" si="171"/>
        <v>0</v>
      </c>
      <c r="T273" s="57">
        <f t="shared" si="171"/>
        <v>0</v>
      </c>
      <c r="U273" s="57">
        <f t="shared" si="171"/>
        <v>0</v>
      </c>
      <c r="V273" s="57">
        <f t="shared" si="171"/>
        <v>0</v>
      </c>
      <c r="W273" s="57">
        <f t="shared" si="171"/>
        <v>0</v>
      </c>
      <c r="X273" s="57">
        <f t="shared" si="171"/>
        <v>0</v>
      </c>
      <c r="Y273" s="57">
        <f t="shared" si="171"/>
        <v>0</v>
      </c>
      <c r="Z273" s="57">
        <f t="shared" si="171"/>
        <v>0</v>
      </c>
      <c r="AA273" s="57">
        <f t="shared" si="171"/>
        <v>0</v>
      </c>
      <c r="AB273" s="57">
        <f t="shared" si="171"/>
        <v>0</v>
      </c>
      <c r="AC273" s="57">
        <f t="shared" si="171"/>
        <v>0</v>
      </c>
      <c r="AD273" s="57">
        <f t="shared" ref="AD273:AM273" si="172">(AD271+AD272)*$D273</f>
        <v>0</v>
      </c>
      <c r="AE273" s="57">
        <f t="shared" si="172"/>
        <v>0</v>
      </c>
      <c r="AF273" s="57">
        <f t="shared" si="172"/>
        <v>0</v>
      </c>
      <c r="AG273" s="57">
        <f t="shared" si="172"/>
        <v>0</v>
      </c>
      <c r="AH273" s="57">
        <f t="shared" si="172"/>
        <v>0</v>
      </c>
      <c r="AI273" s="57">
        <f t="shared" si="172"/>
        <v>0</v>
      </c>
      <c r="AJ273" s="57">
        <f t="shared" si="172"/>
        <v>0</v>
      </c>
      <c r="AK273" s="57">
        <f t="shared" si="172"/>
        <v>0</v>
      </c>
      <c r="AL273" s="57">
        <f t="shared" si="172"/>
        <v>0</v>
      </c>
      <c r="AM273" s="57">
        <f t="shared" si="172"/>
        <v>0</v>
      </c>
    </row>
    <row r="274" spans="2:39" ht="63.75" x14ac:dyDescent="0.2">
      <c r="B274" s="11"/>
      <c r="C274" s="51" t="s">
        <v>31</v>
      </c>
      <c r="D274" s="58" t="s">
        <v>32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</row>
    <row r="275" spans="2:39" x14ac:dyDescent="0.2">
      <c r="B275" s="11"/>
      <c r="C275" s="11"/>
      <c r="D275" s="11"/>
      <c r="E275" s="11"/>
      <c r="F275" s="15" t="s">
        <v>139</v>
      </c>
      <c r="G275" s="15" t="s">
        <v>11</v>
      </c>
      <c r="H275" s="15" t="s">
        <v>12</v>
      </c>
      <c r="I275" s="11"/>
      <c r="J275" s="15">
        <f>Start_Year</f>
        <v>2015</v>
      </c>
      <c r="K275" s="15">
        <f t="shared" ref="K275:AM275" si="173">J275+1</f>
        <v>2016</v>
      </c>
      <c r="L275" s="15">
        <f t="shared" si="173"/>
        <v>2017</v>
      </c>
      <c r="M275" s="15">
        <f t="shared" si="173"/>
        <v>2018</v>
      </c>
      <c r="N275" s="15">
        <f t="shared" si="173"/>
        <v>2019</v>
      </c>
      <c r="O275" s="15">
        <f t="shared" si="173"/>
        <v>2020</v>
      </c>
      <c r="P275" s="15">
        <f t="shared" si="173"/>
        <v>2021</v>
      </c>
      <c r="Q275" s="15">
        <f t="shared" si="173"/>
        <v>2022</v>
      </c>
      <c r="R275" s="15">
        <f t="shared" si="173"/>
        <v>2023</v>
      </c>
      <c r="S275" s="15">
        <f t="shared" si="173"/>
        <v>2024</v>
      </c>
      <c r="T275" s="15">
        <f t="shared" si="173"/>
        <v>2025</v>
      </c>
      <c r="U275" s="15">
        <f t="shared" si="173"/>
        <v>2026</v>
      </c>
      <c r="V275" s="15">
        <f t="shared" si="173"/>
        <v>2027</v>
      </c>
      <c r="W275" s="15">
        <f t="shared" si="173"/>
        <v>2028</v>
      </c>
      <c r="X275" s="15">
        <f t="shared" si="173"/>
        <v>2029</v>
      </c>
      <c r="Y275" s="15">
        <f t="shared" si="173"/>
        <v>2030</v>
      </c>
      <c r="Z275" s="15">
        <f t="shared" si="173"/>
        <v>2031</v>
      </c>
      <c r="AA275" s="15">
        <f t="shared" si="173"/>
        <v>2032</v>
      </c>
      <c r="AB275" s="15">
        <f t="shared" si="173"/>
        <v>2033</v>
      </c>
      <c r="AC275" s="15">
        <f t="shared" si="173"/>
        <v>2034</v>
      </c>
      <c r="AD275" s="15">
        <f t="shared" si="173"/>
        <v>2035</v>
      </c>
      <c r="AE275" s="15">
        <f t="shared" si="173"/>
        <v>2036</v>
      </c>
      <c r="AF275" s="15">
        <f t="shared" si="173"/>
        <v>2037</v>
      </c>
      <c r="AG275" s="15">
        <f t="shared" si="173"/>
        <v>2038</v>
      </c>
      <c r="AH275" s="15">
        <f t="shared" si="173"/>
        <v>2039</v>
      </c>
      <c r="AI275" s="15">
        <f t="shared" si="173"/>
        <v>2040</v>
      </c>
      <c r="AJ275" s="15">
        <f t="shared" si="173"/>
        <v>2041</v>
      </c>
      <c r="AK275" s="15">
        <f t="shared" si="173"/>
        <v>2042</v>
      </c>
      <c r="AL275" s="15">
        <f t="shared" si="173"/>
        <v>2043</v>
      </c>
      <c r="AM275" s="15">
        <f t="shared" si="173"/>
        <v>2044</v>
      </c>
    </row>
    <row r="276" spans="2:39" x14ac:dyDescent="0.2">
      <c r="B276" s="10" t="s">
        <v>77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</row>
    <row r="277" spans="2:39" x14ac:dyDescent="0.2">
      <c r="B277" s="11"/>
      <c r="C277" s="51" t="s">
        <v>14</v>
      </c>
      <c r="D277" s="53">
        <f>D278*D279</f>
        <v>250000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</row>
    <row r="278" spans="2:39" x14ac:dyDescent="0.2">
      <c r="B278" s="11"/>
      <c r="C278" s="51" t="s">
        <v>34</v>
      </c>
      <c r="D278" s="16">
        <v>250000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</row>
    <row r="279" spans="2:39" x14ac:dyDescent="0.2">
      <c r="B279" s="11"/>
      <c r="C279" s="51" t="s">
        <v>16</v>
      </c>
      <c r="D279" s="17">
        <v>1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</row>
    <row r="280" spans="2:39" x14ac:dyDescent="0.2">
      <c r="B280" s="11"/>
      <c r="C280" s="51" t="s">
        <v>17</v>
      </c>
      <c r="D280" s="48" t="s">
        <v>62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</row>
    <row r="281" spans="2:39" x14ac:dyDescent="0.2">
      <c r="B281" s="11"/>
      <c r="C281" s="51" t="s">
        <v>36</v>
      </c>
      <c r="D281" s="18">
        <v>42005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</row>
    <row r="282" spans="2:39" x14ac:dyDescent="0.2">
      <c r="B282" s="11"/>
      <c r="C282" s="51" t="s">
        <v>37</v>
      </c>
      <c r="D282" s="18">
        <v>42370</v>
      </c>
      <c r="E282" s="11"/>
      <c r="F282" s="48" t="s">
        <v>21</v>
      </c>
      <c r="G282" s="51"/>
      <c r="H282" s="51"/>
      <c r="I282" s="11"/>
      <c r="J282" s="20">
        <f t="shared" ref="J282:AC282" si="174">(MIN(MAX($D282,DATE(J$47,1,1)),DATE(J$47+1,1,1))-MIN(MAX($D281,DATE(J$47,1,1)),DATE(J$47+1,1,1)))</f>
        <v>365</v>
      </c>
      <c r="K282" s="20">
        <f t="shared" si="174"/>
        <v>0</v>
      </c>
      <c r="L282" s="20">
        <f t="shared" si="174"/>
        <v>0</v>
      </c>
      <c r="M282" s="20">
        <f t="shared" si="174"/>
        <v>0</v>
      </c>
      <c r="N282" s="20">
        <f t="shared" si="174"/>
        <v>0</v>
      </c>
      <c r="O282" s="20">
        <f t="shared" si="174"/>
        <v>0</v>
      </c>
      <c r="P282" s="20">
        <f t="shared" si="174"/>
        <v>0</v>
      </c>
      <c r="Q282" s="20">
        <f t="shared" si="174"/>
        <v>0</v>
      </c>
      <c r="R282" s="20">
        <f t="shared" si="174"/>
        <v>0</v>
      </c>
      <c r="S282" s="20">
        <f t="shared" si="174"/>
        <v>0</v>
      </c>
      <c r="T282" s="20">
        <f t="shared" si="174"/>
        <v>0</v>
      </c>
      <c r="U282" s="20">
        <f t="shared" si="174"/>
        <v>0</v>
      </c>
      <c r="V282" s="20">
        <f t="shared" si="174"/>
        <v>0</v>
      </c>
      <c r="W282" s="20">
        <f t="shared" si="174"/>
        <v>0</v>
      </c>
      <c r="X282" s="20">
        <f t="shared" si="174"/>
        <v>0</v>
      </c>
      <c r="Y282" s="20">
        <f t="shared" si="174"/>
        <v>0</v>
      </c>
      <c r="Z282" s="20">
        <f t="shared" si="174"/>
        <v>0</v>
      </c>
      <c r="AA282" s="20">
        <f t="shared" si="174"/>
        <v>0</v>
      </c>
      <c r="AB282" s="20">
        <f t="shared" si="174"/>
        <v>0</v>
      </c>
      <c r="AC282" s="20">
        <f t="shared" si="174"/>
        <v>0</v>
      </c>
      <c r="AD282" s="20">
        <f t="shared" ref="AD282:AM282" si="175">(MIN(MAX($D282,DATE(AD$47,1,1)),DATE(AD$47+1,1,1))-MIN(MAX($D281,DATE(AD$47,1,1)),DATE(AD$47+1,1,1)))</f>
        <v>0</v>
      </c>
      <c r="AE282" s="20">
        <f t="shared" si="175"/>
        <v>0</v>
      </c>
      <c r="AF282" s="20">
        <f t="shared" si="175"/>
        <v>0</v>
      </c>
      <c r="AG282" s="20">
        <f t="shared" si="175"/>
        <v>0</v>
      </c>
      <c r="AH282" s="20">
        <f t="shared" si="175"/>
        <v>0</v>
      </c>
      <c r="AI282" s="20">
        <f t="shared" si="175"/>
        <v>0</v>
      </c>
      <c r="AJ282" s="20">
        <f t="shared" si="175"/>
        <v>0</v>
      </c>
      <c r="AK282" s="20">
        <f t="shared" si="175"/>
        <v>0</v>
      </c>
      <c r="AL282" s="20">
        <f t="shared" si="175"/>
        <v>0</v>
      </c>
      <c r="AM282" s="20">
        <f t="shared" si="175"/>
        <v>0</v>
      </c>
    </row>
    <row r="283" spans="2:39" x14ac:dyDescent="0.2">
      <c r="B283" s="11"/>
      <c r="C283" s="51" t="s">
        <v>22</v>
      </c>
      <c r="D283" s="54">
        <f>D282-D281</f>
        <v>365</v>
      </c>
      <c r="E283" s="11"/>
      <c r="F283" s="48" t="s">
        <v>23</v>
      </c>
      <c r="G283" s="51" t="s">
        <v>78</v>
      </c>
      <c r="H283" s="51" t="str">
        <f ca="1">IFERROR(INDEX(CES_Short,MATCH(Parameters!G283,CES_Pick,0)),"")</f>
        <v>Bridge Impr</v>
      </c>
      <c r="I283" s="11"/>
      <c r="J283" s="53">
        <f t="shared" ref="J283:AC283" si="176">$D277*J282/SUM($J282:$AC282)</f>
        <v>250000</v>
      </c>
      <c r="K283" s="53">
        <f t="shared" si="176"/>
        <v>0</v>
      </c>
      <c r="L283" s="53">
        <f t="shared" si="176"/>
        <v>0</v>
      </c>
      <c r="M283" s="53">
        <f t="shared" si="176"/>
        <v>0</v>
      </c>
      <c r="N283" s="53">
        <f t="shared" si="176"/>
        <v>0</v>
      </c>
      <c r="O283" s="53">
        <f t="shared" si="176"/>
        <v>0</v>
      </c>
      <c r="P283" s="53">
        <f t="shared" si="176"/>
        <v>0</v>
      </c>
      <c r="Q283" s="53">
        <f t="shared" si="176"/>
        <v>0</v>
      </c>
      <c r="R283" s="53">
        <f t="shared" si="176"/>
        <v>0</v>
      </c>
      <c r="S283" s="53">
        <f t="shared" si="176"/>
        <v>0</v>
      </c>
      <c r="T283" s="53">
        <f t="shared" si="176"/>
        <v>0</v>
      </c>
      <c r="U283" s="53">
        <f t="shared" si="176"/>
        <v>0</v>
      </c>
      <c r="V283" s="53">
        <f t="shared" si="176"/>
        <v>0</v>
      </c>
      <c r="W283" s="53">
        <f t="shared" si="176"/>
        <v>0</v>
      </c>
      <c r="X283" s="53">
        <f t="shared" si="176"/>
        <v>0</v>
      </c>
      <c r="Y283" s="53">
        <f t="shared" si="176"/>
        <v>0</v>
      </c>
      <c r="Z283" s="53">
        <f t="shared" si="176"/>
        <v>0</v>
      </c>
      <c r="AA283" s="53">
        <f t="shared" si="176"/>
        <v>0</v>
      </c>
      <c r="AB283" s="53">
        <f t="shared" si="176"/>
        <v>0</v>
      </c>
      <c r="AC283" s="53">
        <f t="shared" si="176"/>
        <v>0</v>
      </c>
      <c r="AD283" s="53">
        <f t="shared" ref="AD283:AM283" si="177">$D277*AD282/SUM($J282:$AC282)</f>
        <v>0</v>
      </c>
      <c r="AE283" s="53">
        <f t="shared" si="177"/>
        <v>0</v>
      </c>
      <c r="AF283" s="53">
        <f t="shared" si="177"/>
        <v>0</v>
      </c>
      <c r="AG283" s="53">
        <f t="shared" si="177"/>
        <v>0</v>
      </c>
      <c r="AH283" s="53">
        <f t="shared" si="177"/>
        <v>0</v>
      </c>
      <c r="AI283" s="53">
        <f t="shared" si="177"/>
        <v>0</v>
      </c>
      <c r="AJ283" s="53">
        <f t="shared" si="177"/>
        <v>0</v>
      </c>
      <c r="AK283" s="53">
        <f t="shared" si="177"/>
        <v>0</v>
      </c>
      <c r="AL283" s="53">
        <f t="shared" si="177"/>
        <v>0</v>
      </c>
      <c r="AM283" s="53">
        <f t="shared" si="177"/>
        <v>0</v>
      </c>
    </row>
    <row r="284" spans="2:39" x14ac:dyDescent="0.2">
      <c r="B284" s="11"/>
      <c r="C284" s="55" t="s">
        <v>25</v>
      </c>
      <c r="D284" s="19">
        <v>0.1</v>
      </c>
      <c r="E284" s="11"/>
      <c r="F284" s="56" t="s">
        <v>26</v>
      </c>
      <c r="G284" s="51" t="s">
        <v>27</v>
      </c>
      <c r="H284" s="51" t="str">
        <f ca="1">IFERROR(INDEX(CES_Short,MATCH(Parameters!G284,CES_Pick,0)),"")</f>
        <v>Mobilization</v>
      </c>
      <c r="I284" s="11"/>
      <c r="J284" s="57">
        <f t="shared" ref="J284:AC284" si="178">J283*$D284</f>
        <v>25000</v>
      </c>
      <c r="K284" s="57">
        <f t="shared" si="178"/>
        <v>0</v>
      </c>
      <c r="L284" s="57">
        <f t="shared" si="178"/>
        <v>0</v>
      </c>
      <c r="M284" s="57">
        <f t="shared" si="178"/>
        <v>0</v>
      </c>
      <c r="N284" s="57">
        <f t="shared" si="178"/>
        <v>0</v>
      </c>
      <c r="O284" s="57">
        <f t="shared" si="178"/>
        <v>0</v>
      </c>
      <c r="P284" s="57">
        <f t="shared" si="178"/>
        <v>0</v>
      </c>
      <c r="Q284" s="57">
        <f t="shared" si="178"/>
        <v>0</v>
      </c>
      <c r="R284" s="57">
        <f t="shared" si="178"/>
        <v>0</v>
      </c>
      <c r="S284" s="57">
        <f t="shared" si="178"/>
        <v>0</v>
      </c>
      <c r="T284" s="57">
        <f t="shared" si="178"/>
        <v>0</v>
      </c>
      <c r="U284" s="57">
        <f t="shared" si="178"/>
        <v>0</v>
      </c>
      <c r="V284" s="57">
        <f t="shared" si="178"/>
        <v>0</v>
      </c>
      <c r="W284" s="57">
        <f t="shared" si="178"/>
        <v>0</v>
      </c>
      <c r="X284" s="57">
        <f t="shared" si="178"/>
        <v>0</v>
      </c>
      <c r="Y284" s="57">
        <f t="shared" si="178"/>
        <v>0</v>
      </c>
      <c r="Z284" s="57">
        <f t="shared" si="178"/>
        <v>0</v>
      </c>
      <c r="AA284" s="57">
        <f t="shared" si="178"/>
        <v>0</v>
      </c>
      <c r="AB284" s="57">
        <f t="shared" si="178"/>
        <v>0</v>
      </c>
      <c r="AC284" s="57">
        <f t="shared" si="178"/>
        <v>0</v>
      </c>
      <c r="AD284" s="57">
        <f t="shared" ref="AD284:AM284" si="179">AD283*$D284</f>
        <v>0</v>
      </c>
      <c r="AE284" s="57">
        <f t="shared" si="179"/>
        <v>0</v>
      </c>
      <c r="AF284" s="57">
        <f t="shared" si="179"/>
        <v>0</v>
      </c>
      <c r="AG284" s="57">
        <f t="shared" si="179"/>
        <v>0</v>
      </c>
      <c r="AH284" s="57">
        <f t="shared" si="179"/>
        <v>0</v>
      </c>
      <c r="AI284" s="57">
        <f t="shared" si="179"/>
        <v>0</v>
      </c>
      <c r="AJ284" s="57">
        <f t="shared" si="179"/>
        <v>0</v>
      </c>
      <c r="AK284" s="57">
        <f t="shared" si="179"/>
        <v>0</v>
      </c>
      <c r="AL284" s="57">
        <f t="shared" si="179"/>
        <v>0</v>
      </c>
      <c r="AM284" s="57">
        <f t="shared" si="179"/>
        <v>0</v>
      </c>
    </row>
    <row r="285" spans="2:39" x14ac:dyDescent="0.2">
      <c r="B285" s="11"/>
      <c r="C285" s="55" t="s">
        <v>28</v>
      </c>
      <c r="D285" s="19">
        <v>0.35</v>
      </c>
      <c r="E285" s="11"/>
      <c r="F285" s="56" t="s">
        <v>29</v>
      </c>
      <c r="G285" s="51" t="s">
        <v>30</v>
      </c>
      <c r="H285" s="51" t="str">
        <f ca="1">IFERROR(INDEX(CES_Short,MATCH(Parameters!G285,CES_Pick,0)),"")</f>
        <v>Contingency</v>
      </c>
      <c r="I285" s="11"/>
      <c r="J285" s="57">
        <f t="shared" ref="J285:AC285" si="180">(J283+J284)*$D285</f>
        <v>96250</v>
      </c>
      <c r="K285" s="57">
        <f t="shared" si="180"/>
        <v>0</v>
      </c>
      <c r="L285" s="57">
        <f t="shared" si="180"/>
        <v>0</v>
      </c>
      <c r="M285" s="57">
        <f t="shared" si="180"/>
        <v>0</v>
      </c>
      <c r="N285" s="57">
        <f t="shared" si="180"/>
        <v>0</v>
      </c>
      <c r="O285" s="57">
        <f t="shared" si="180"/>
        <v>0</v>
      </c>
      <c r="P285" s="57">
        <f t="shared" si="180"/>
        <v>0</v>
      </c>
      <c r="Q285" s="57">
        <f t="shared" si="180"/>
        <v>0</v>
      </c>
      <c r="R285" s="57">
        <f t="shared" si="180"/>
        <v>0</v>
      </c>
      <c r="S285" s="57">
        <f t="shared" si="180"/>
        <v>0</v>
      </c>
      <c r="T285" s="57">
        <f t="shared" si="180"/>
        <v>0</v>
      </c>
      <c r="U285" s="57">
        <f t="shared" si="180"/>
        <v>0</v>
      </c>
      <c r="V285" s="57">
        <f t="shared" si="180"/>
        <v>0</v>
      </c>
      <c r="W285" s="57">
        <f t="shared" si="180"/>
        <v>0</v>
      </c>
      <c r="X285" s="57">
        <f t="shared" si="180"/>
        <v>0</v>
      </c>
      <c r="Y285" s="57">
        <f t="shared" si="180"/>
        <v>0</v>
      </c>
      <c r="Z285" s="57">
        <f t="shared" si="180"/>
        <v>0</v>
      </c>
      <c r="AA285" s="57">
        <f t="shared" si="180"/>
        <v>0</v>
      </c>
      <c r="AB285" s="57">
        <f t="shared" si="180"/>
        <v>0</v>
      </c>
      <c r="AC285" s="57">
        <f t="shared" si="180"/>
        <v>0</v>
      </c>
      <c r="AD285" s="57">
        <f t="shared" ref="AD285:AM285" si="181">(AD283+AD284)*$D285</f>
        <v>0</v>
      </c>
      <c r="AE285" s="57">
        <f t="shared" si="181"/>
        <v>0</v>
      </c>
      <c r="AF285" s="57">
        <f t="shared" si="181"/>
        <v>0</v>
      </c>
      <c r="AG285" s="57">
        <f t="shared" si="181"/>
        <v>0</v>
      </c>
      <c r="AH285" s="57">
        <f t="shared" si="181"/>
        <v>0</v>
      </c>
      <c r="AI285" s="57">
        <f t="shared" si="181"/>
        <v>0</v>
      </c>
      <c r="AJ285" s="57">
        <f t="shared" si="181"/>
        <v>0</v>
      </c>
      <c r="AK285" s="57">
        <f t="shared" si="181"/>
        <v>0</v>
      </c>
      <c r="AL285" s="57">
        <f t="shared" si="181"/>
        <v>0</v>
      </c>
      <c r="AM285" s="57">
        <f t="shared" si="181"/>
        <v>0</v>
      </c>
    </row>
    <row r="286" spans="2:39" ht="63.75" x14ac:dyDescent="0.2">
      <c r="B286" s="11"/>
      <c r="C286" s="51" t="s">
        <v>31</v>
      </c>
      <c r="D286" s="58" t="s">
        <v>32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</row>
    <row r="287" spans="2:39" x14ac:dyDescent="0.2">
      <c r="B287" s="11"/>
      <c r="C287" s="11"/>
      <c r="D287" s="11"/>
      <c r="E287" s="11"/>
      <c r="F287" s="15" t="s">
        <v>139</v>
      </c>
      <c r="G287" s="15" t="s">
        <v>11</v>
      </c>
      <c r="H287" s="15" t="s">
        <v>12</v>
      </c>
      <c r="I287" s="11"/>
      <c r="J287" s="15">
        <f>Start_Year</f>
        <v>2015</v>
      </c>
      <c r="K287" s="15">
        <f t="shared" ref="K287:AM287" si="182">J287+1</f>
        <v>2016</v>
      </c>
      <c r="L287" s="15">
        <f t="shared" si="182"/>
        <v>2017</v>
      </c>
      <c r="M287" s="15">
        <f t="shared" si="182"/>
        <v>2018</v>
      </c>
      <c r="N287" s="15">
        <f t="shared" si="182"/>
        <v>2019</v>
      </c>
      <c r="O287" s="15">
        <f t="shared" si="182"/>
        <v>2020</v>
      </c>
      <c r="P287" s="15">
        <f t="shared" si="182"/>
        <v>2021</v>
      </c>
      <c r="Q287" s="15">
        <f t="shared" si="182"/>
        <v>2022</v>
      </c>
      <c r="R287" s="15">
        <f t="shared" si="182"/>
        <v>2023</v>
      </c>
      <c r="S287" s="15">
        <f t="shared" si="182"/>
        <v>2024</v>
      </c>
      <c r="T287" s="15">
        <f t="shared" si="182"/>
        <v>2025</v>
      </c>
      <c r="U287" s="15">
        <f t="shared" si="182"/>
        <v>2026</v>
      </c>
      <c r="V287" s="15">
        <f t="shared" si="182"/>
        <v>2027</v>
      </c>
      <c r="W287" s="15">
        <f t="shared" si="182"/>
        <v>2028</v>
      </c>
      <c r="X287" s="15">
        <f t="shared" si="182"/>
        <v>2029</v>
      </c>
      <c r="Y287" s="15">
        <f t="shared" si="182"/>
        <v>2030</v>
      </c>
      <c r="Z287" s="15">
        <f t="shared" si="182"/>
        <v>2031</v>
      </c>
      <c r="AA287" s="15">
        <f t="shared" si="182"/>
        <v>2032</v>
      </c>
      <c r="AB287" s="15">
        <f t="shared" si="182"/>
        <v>2033</v>
      </c>
      <c r="AC287" s="15">
        <f t="shared" si="182"/>
        <v>2034</v>
      </c>
      <c r="AD287" s="15">
        <f t="shared" si="182"/>
        <v>2035</v>
      </c>
      <c r="AE287" s="15">
        <f t="shared" si="182"/>
        <v>2036</v>
      </c>
      <c r="AF287" s="15">
        <f t="shared" si="182"/>
        <v>2037</v>
      </c>
      <c r="AG287" s="15">
        <f t="shared" si="182"/>
        <v>2038</v>
      </c>
      <c r="AH287" s="15">
        <f t="shared" si="182"/>
        <v>2039</v>
      </c>
      <c r="AI287" s="15">
        <f t="shared" si="182"/>
        <v>2040</v>
      </c>
      <c r="AJ287" s="15">
        <f t="shared" si="182"/>
        <v>2041</v>
      </c>
      <c r="AK287" s="15">
        <f t="shared" si="182"/>
        <v>2042</v>
      </c>
      <c r="AL287" s="15">
        <f t="shared" si="182"/>
        <v>2043</v>
      </c>
      <c r="AM287" s="15">
        <f t="shared" si="182"/>
        <v>2044</v>
      </c>
    </row>
    <row r="288" spans="2:39" x14ac:dyDescent="0.2">
      <c r="B288" s="10" t="s">
        <v>79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</row>
    <row r="289" spans="2:39" x14ac:dyDescent="0.2">
      <c r="B289" s="11"/>
      <c r="C289" s="51" t="s">
        <v>14</v>
      </c>
      <c r="D289" s="53">
        <f>D290*D291</f>
        <v>310000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</row>
    <row r="290" spans="2:39" x14ac:dyDescent="0.2">
      <c r="B290" s="11"/>
      <c r="C290" s="51" t="s">
        <v>34</v>
      </c>
      <c r="D290" s="16">
        <v>310000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</row>
    <row r="291" spans="2:39" x14ac:dyDescent="0.2">
      <c r="B291" s="11"/>
      <c r="C291" s="51" t="s">
        <v>16</v>
      </c>
      <c r="D291" s="17">
        <v>1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</row>
    <row r="292" spans="2:39" x14ac:dyDescent="0.2">
      <c r="B292" s="11"/>
      <c r="C292" s="51" t="s">
        <v>17</v>
      </c>
      <c r="D292" s="48" t="s">
        <v>62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</row>
    <row r="293" spans="2:39" x14ac:dyDescent="0.2">
      <c r="B293" s="11"/>
      <c r="C293" s="51" t="s">
        <v>36</v>
      </c>
      <c r="D293" s="18">
        <v>42005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</row>
    <row r="294" spans="2:39" x14ac:dyDescent="0.2">
      <c r="B294" s="11"/>
      <c r="C294" s="51" t="s">
        <v>37</v>
      </c>
      <c r="D294" s="18">
        <v>42370</v>
      </c>
      <c r="E294" s="11"/>
      <c r="F294" s="48" t="s">
        <v>21</v>
      </c>
      <c r="G294" s="51"/>
      <c r="H294" s="51"/>
      <c r="I294" s="11"/>
      <c r="J294" s="20">
        <f t="shared" ref="J294:AC294" si="183">(MIN(MAX($D294,DATE(J$47,1,1)),DATE(J$47+1,1,1))-MIN(MAX($D293,DATE(J$47,1,1)),DATE(J$47+1,1,1)))</f>
        <v>365</v>
      </c>
      <c r="K294" s="20">
        <f t="shared" si="183"/>
        <v>0</v>
      </c>
      <c r="L294" s="20">
        <f t="shared" si="183"/>
        <v>0</v>
      </c>
      <c r="M294" s="20">
        <f t="shared" si="183"/>
        <v>0</v>
      </c>
      <c r="N294" s="20">
        <f t="shared" si="183"/>
        <v>0</v>
      </c>
      <c r="O294" s="20">
        <f t="shared" si="183"/>
        <v>0</v>
      </c>
      <c r="P294" s="20">
        <f t="shared" si="183"/>
        <v>0</v>
      </c>
      <c r="Q294" s="20">
        <f t="shared" si="183"/>
        <v>0</v>
      </c>
      <c r="R294" s="20">
        <f t="shared" si="183"/>
        <v>0</v>
      </c>
      <c r="S294" s="20">
        <f t="shared" si="183"/>
        <v>0</v>
      </c>
      <c r="T294" s="20">
        <f t="shared" si="183"/>
        <v>0</v>
      </c>
      <c r="U294" s="20">
        <f t="shared" si="183"/>
        <v>0</v>
      </c>
      <c r="V294" s="20">
        <f t="shared" si="183"/>
        <v>0</v>
      </c>
      <c r="W294" s="20">
        <f t="shared" si="183"/>
        <v>0</v>
      </c>
      <c r="X294" s="20">
        <f t="shared" si="183"/>
        <v>0</v>
      </c>
      <c r="Y294" s="20">
        <f t="shared" si="183"/>
        <v>0</v>
      </c>
      <c r="Z294" s="20">
        <f t="shared" si="183"/>
        <v>0</v>
      </c>
      <c r="AA294" s="20">
        <f t="shared" si="183"/>
        <v>0</v>
      </c>
      <c r="AB294" s="20">
        <f t="shared" si="183"/>
        <v>0</v>
      </c>
      <c r="AC294" s="20">
        <f t="shared" si="183"/>
        <v>0</v>
      </c>
      <c r="AD294" s="20">
        <f t="shared" ref="AD294:AM294" si="184">(MIN(MAX($D294,DATE(AD$47,1,1)),DATE(AD$47+1,1,1))-MIN(MAX($D293,DATE(AD$47,1,1)),DATE(AD$47+1,1,1)))</f>
        <v>0</v>
      </c>
      <c r="AE294" s="20">
        <f t="shared" si="184"/>
        <v>0</v>
      </c>
      <c r="AF294" s="20">
        <f t="shared" si="184"/>
        <v>0</v>
      </c>
      <c r="AG294" s="20">
        <f t="shared" si="184"/>
        <v>0</v>
      </c>
      <c r="AH294" s="20">
        <f t="shared" si="184"/>
        <v>0</v>
      </c>
      <c r="AI294" s="20">
        <f t="shared" si="184"/>
        <v>0</v>
      </c>
      <c r="AJ294" s="20">
        <f t="shared" si="184"/>
        <v>0</v>
      </c>
      <c r="AK294" s="20">
        <f t="shared" si="184"/>
        <v>0</v>
      </c>
      <c r="AL294" s="20">
        <f t="shared" si="184"/>
        <v>0</v>
      </c>
      <c r="AM294" s="20">
        <f t="shared" si="184"/>
        <v>0</v>
      </c>
    </row>
    <row r="295" spans="2:39" x14ac:dyDescent="0.2">
      <c r="B295" s="11"/>
      <c r="C295" s="51" t="s">
        <v>22</v>
      </c>
      <c r="D295" s="54">
        <f>D294-D293</f>
        <v>365</v>
      </c>
      <c r="E295" s="11"/>
      <c r="F295" s="48" t="s">
        <v>23</v>
      </c>
      <c r="G295" s="51" t="s">
        <v>80</v>
      </c>
      <c r="H295" s="51" t="str">
        <f ca="1">IFERROR(INDEX(CES_Short,MATCH(Parameters!G295,CES_Pick,0)),"")</f>
        <v>Eng Des</v>
      </c>
      <c r="I295" s="11"/>
      <c r="J295" s="53">
        <f t="shared" ref="J295:AC295" si="185">$D289*J294/SUM($J294:$AC294)</f>
        <v>310000</v>
      </c>
      <c r="K295" s="53">
        <f t="shared" si="185"/>
        <v>0</v>
      </c>
      <c r="L295" s="53">
        <f t="shared" si="185"/>
        <v>0</v>
      </c>
      <c r="M295" s="53">
        <f t="shared" si="185"/>
        <v>0</v>
      </c>
      <c r="N295" s="53">
        <f t="shared" si="185"/>
        <v>0</v>
      </c>
      <c r="O295" s="53">
        <f t="shared" si="185"/>
        <v>0</v>
      </c>
      <c r="P295" s="53">
        <f t="shared" si="185"/>
        <v>0</v>
      </c>
      <c r="Q295" s="53">
        <f t="shared" si="185"/>
        <v>0</v>
      </c>
      <c r="R295" s="53">
        <f t="shared" si="185"/>
        <v>0</v>
      </c>
      <c r="S295" s="53">
        <f t="shared" si="185"/>
        <v>0</v>
      </c>
      <c r="T295" s="53">
        <f t="shared" si="185"/>
        <v>0</v>
      </c>
      <c r="U295" s="53">
        <f t="shared" si="185"/>
        <v>0</v>
      </c>
      <c r="V295" s="53">
        <f t="shared" si="185"/>
        <v>0</v>
      </c>
      <c r="W295" s="53">
        <f t="shared" si="185"/>
        <v>0</v>
      </c>
      <c r="X295" s="53">
        <f t="shared" si="185"/>
        <v>0</v>
      </c>
      <c r="Y295" s="53">
        <f t="shared" si="185"/>
        <v>0</v>
      </c>
      <c r="Z295" s="53">
        <f t="shared" si="185"/>
        <v>0</v>
      </c>
      <c r="AA295" s="53">
        <f t="shared" si="185"/>
        <v>0</v>
      </c>
      <c r="AB295" s="53">
        <f t="shared" si="185"/>
        <v>0</v>
      </c>
      <c r="AC295" s="53">
        <f t="shared" si="185"/>
        <v>0</v>
      </c>
      <c r="AD295" s="53">
        <f t="shared" ref="AD295:AM295" si="186">$D289*AD294/SUM($J294:$AC294)</f>
        <v>0</v>
      </c>
      <c r="AE295" s="53">
        <f t="shared" si="186"/>
        <v>0</v>
      </c>
      <c r="AF295" s="53">
        <f t="shared" si="186"/>
        <v>0</v>
      </c>
      <c r="AG295" s="53">
        <f t="shared" si="186"/>
        <v>0</v>
      </c>
      <c r="AH295" s="53">
        <f t="shared" si="186"/>
        <v>0</v>
      </c>
      <c r="AI295" s="53">
        <f t="shared" si="186"/>
        <v>0</v>
      </c>
      <c r="AJ295" s="53">
        <f t="shared" si="186"/>
        <v>0</v>
      </c>
      <c r="AK295" s="53">
        <f t="shared" si="186"/>
        <v>0</v>
      </c>
      <c r="AL295" s="53">
        <f t="shared" si="186"/>
        <v>0</v>
      </c>
      <c r="AM295" s="53">
        <f t="shared" si="186"/>
        <v>0</v>
      </c>
    </row>
    <row r="296" spans="2:39" x14ac:dyDescent="0.2">
      <c r="B296" s="11"/>
      <c r="C296" s="55" t="s">
        <v>25</v>
      </c>
      <c r="D296" s="19">
        <v>0</v>
      </c>
      <c r="E296" s="11"/>
      <c r="F296" s="56" t="s">
        <v>26</v>
      </c>
      <c r="G296" s="51" t="s">
        <v>27</v>
      </c>
      <c r="H296" s="51" t="str">
        <f ca="1">IFERROR(INDEX(CES_Short,MATCH(Parameters!G296,CES_Pick,0)),"")</f>
        <v>Mobilization</v>
      </c>
      <c r="I296" s="11"/>
      <c r="J296" s="57">
        <f t="shared" ref="J296:AC296" si="187">J295*$D296</f>
        <v>0</v>
      </c>
      <c r="K296" s="57">
        <f t="shared" si="187"/>
        <v>0</v>
      </c>
      <c r="L296" s="57">
        <f t="shared" si="187"/>
        <v>0</v>
      </c>
      <c r="M296" s="57">
        <f t="shared" si="187"/>
        <v>0</v>
      </c>
      <c r="N296" s="57">
        <f t="shared" si="187"/>
        <v>0</v>
      </c>
      <c r="O296" s="57">
        <f t="shared" si="187"/>
        <v>0</v>
      </c>
      <c r="P296" s="57">
        <f t="shared" si="187"/>
        <v>0</v>
      </c>
      <c r="Q296" s="57">
        <f t="shared" si="187"/>
        <v>0</v>
      </c>
      <c r="R296" s="57">
        <f t="shared" si="187"/>
        <v>0</v>
      </c>
      <c r="S296" s="57">
        <f t="shared" si="187"/>
        <v>0</v>
      </c>
      <c r="T296" s="57">
        <f t="shared" si="187"/>
        <v>0</v>
      </c>
      <c r="U296" s="57">
        <f t="shared" si="187"/>
        <v>0</v>
      </c>
      <c r="V296" s="57">
        <f t="shared" si="187"/>
        <v>0</v>
      </c>
      <c r="W296" s="57">
        <f t="shared" si="187"/>
        <v>0</v>
      </c>
      <c r="X296" s="57">
        <f t="shared" si="187"/>
        <v>0</v>
      </c>
      <c r="Y296" s="57">
        <f t="shared" si="187"/>
        <v>0</v>
      </c>
      <c r="Z296" s="57">
        <f t="shared" si="187"/>
        <v>0</v>
      </c>
      <c r="AA296" s="57">
        <f t="shared" si="187"/>
        <v>0</v>
      </c>
      <c r="AB296" s="57">
        <f t="shared" si="187"/>
        <v>0</v>
      </c>
      <c r="AC296" s="57">
        <f t="shared" si="187"/>
        <v>0</v>
      </c>
      <c r="AD296" s="57">
        <f t="shared" ref="AD296:AM296" si="188">AD295*$D296</f>
        <v>0</v>
      </c>
      <c r="AE296" s="57">
        <f t="shared" si="188"/>
        <v>0</v>
      </c>
      <c r="AF296" s="57">
        <f t="shared" si="188"/>
        <v>0</v>
      </c>
      <c r="AG296" s="57">
        <f t="shared" si="188"/>
        <v>0</v>
      </c>
      <c r="AH296" s="57">
        <f t="shared" si="188"/>
        <v>0</v>
      </c>
      <c r="AI296" s="57">
        <f t="shared" si="188"/>
        <v>0</v>
      </c>
      <c r="AJ296" s="57">
        <f t="shared" si="188"/>
        <v>0</v>
      </c>
      <c r="AK296" s="57">
        <f t="shared" si="188"/>
        <v>0</v>
      </c>
      <c r="AL296" s="57">
        <f t="shared" si="188"/>
        <v>0</v>
      </c>
      <c r="AM296" s="57">
        <f t="shared" si="188"/>
        <v>0</v>
      </c>
    </row>
    <row r="297" spans="2:39" x14ac:dyDescent="0.2">
      <c r="B297" s="11"/>
      <c r="C297" s="55" t="s">
        <v>28</v>
      </c>
      <c r="D297" s="19">
        <v>0.35</v>
      </c>
      <c r="E297" s="11"/>
      <c r="F297" s="56" t="s">
        <v>29</v>
      </c>
      <c r="G297" s="51" t="s">
        <v>30</v>
      </c>
      <c r="H297" s="51" t="str">
        <f ca="1">IFERROR(INDEX(CES_Short,MATCH(Parameters!G297,CES_Pick,0)),"")</f>
        <v>Contingency</v>
      </c>
      <c r="I297" s="11"/>
      <c r="J297" s="57">
        <f t="shared" ref="J297:AC297" si="189">(J295+J296)*$D297</f>
        <v>108500</v>
      </c>
      <c r="K297" s="57">
        <f t="shared" si="189"/>
        <v>0</v>
      </c>
      <c r="L297" s="57">
        <f t="shared" si="189"/>
        <v>0</v>
      </c>
      <c r="M297" s="57">
        <f t="shared" si="189"/>
        <v>0</v>
      </c>
      <c r="N297" s="57">
        <f t="shared" si="189"/>
        <v>0</v>
      </c>
      <c r="O297" s="57">
        <f t="shared" si="189"/>
        <v>0</v>
      </c>
      <c r="P297" s="57">
        <f t="shared" si="189"/>
        <v>0</v>
      </c>
      <c r="Q297" s="57">
        <f t="shared" si="189"/>
        <v>0</v>
      </c>
      <c r="R297" s="57">
        <f t="shared" si="189"/>
        <v>0</v>
      </c>
      <c r="S297" s="57">
        <f t="shared" si="189"/>
        <v>0</v>
      </c>
      <c r="T297" s="57">
        <f t="shared" si="189"/>
        <v>0</v>
      </c>
      <c r="U297" s="57">
        <f t="shared" si="189"/>
        <v>0</v>
      </c>
      <c r="V297" s="57">
        <f t="shared" si="189"/>
        <v>0</v>
      </c>
      <c r="W297" s="57">
        <f t="shared" si="189"/>
        <v>0</v>
      </c>
      <c r="X297" s="57">
        <f t="shared" si="189"/>
        <v>0</v>
      </c>
      <c r="Y297" s="57">
        <f t="shared" si="189"/>
        <v>0</v>
      </c>
      <c r="Z297" s="57">
        <f t="shared" si="189"/>
        <v>0</v>
      </c>
      <c r="AA297" s="57">
        <f t="shared" si="189"/>
        <v>0</v>
      </c>
      <c r="AB297" s="57">
        <f t="shared" si="189"/>
        <v>0</v>
      </c>
      <c r="AC297" s="57">
        <f t="shared" si="189"/>
        <v>0</v>
      </c>
      <c r="AD297" s="57">
        <f t="shared" ref="AD297:AM297" si="190">(AD295+AD296)*$D297</f>
        <v>0</v>
      </c>
      <c r="AE297" s="57">
        <f t="shared" si="190"/>
        <v>0</v>
      </c>
      <c r="AF297" s="57">
        <f t="shared" si="190"/>
        <v>0</v>
      </c>
      <c r="AG297" s="57">
        <f t="shared" si="190"/>
        <v>0</v>
      </c>
      <c r="AH297" s="57">
        <f t="shared" si="190"/>
        <v>0</v>
      </c>
      <c r="AI297" s="57">
        <f t="shared" si="190"/>
        <v>0</v>
      </c>
      <c r="AJ297" s="57">
        <f t="shared" si="190"/>
        <v>0</v>
      </c>
      <c r="AK297" s="57">
        <f t="shared" si="190"/>
        <v>0</v>
      </c>
      <c r="AL297" s="57">
        <f t="shared" si="190"/>
        <v>0</v>
      </c>
      <c r="AM297" s="57">
        <f t="shared" si="190"/>
        <v>0</v>
      </c>
    </row>
    <row r="298" spans="2:39" ht="63.75" x14ac:dyDescent="0.2">
      <c r="B298" s="11"/>
      <c r="C298" s="51" t="s">
        <v>31</v>
      </c>
      <c r="D298" s="58" t="s">
        <v>32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</row>
    <row r="299" spans="2:39" x14ac:dyDescent="0.2">
      <c r="B299" s="11"/>
      <c r="C299" s="11"/>
      <c r="D299" s="11"/>
      <c r="E299" s="11"/>
      <c r="F299" s="15" t="s">
        <v>139</v>
      </c>
      <c r="G299" s="15" t="s">
        <v>11</v>
      </c>
      <c r="H299" s="15" t="s">
        <v>12</v>
      </c>
      <c r="I299" s="11"/>
      <c r="J299" s="15">
        <f>Start_Year</f>
        <v>2015</v>
      </c>
      <c r="K299" s="15">
        <f t="shared" ref="K299:AM299" si="191">J299+1</f>
        <v>2016</v>
      </c>
      <c r="L299" s="15">
        <f t="shared" si="191"/>
        <v>2017</v>
      </c>
      <c r="M299" s="15">
        <f t="shared" si="191"/>
        <v>2018</v>
      </c>
      <c r="N299" s="15">
        <f t="shared" si="191"/>
        <v>2019</v>
      </c>
      <c r="O299" s="15">
        <f t="shared" si="191"/>
        <v>2020</v>
      </c>
      <c r="P299" s="15">
        <f t="shared" si="191"/>
        <v>2021</v>
      </c>
      <c r="Q299" s="15">
        <f t="shared" si="191"/>
        <v>2022</v>
      </c>
      <c r="R299" s="15">
        <f t="shared" si="191"/>
        <v>2023</v>
      </c>
      <c r="S299" s="15">
        <f t="shared" si="191"/>
        <v>2024</v>
      </c>
      <c r="T299" s="15">
        <f t="shared" si="191"/>
        <v>2025</v>
      </c>
      <c r="U299" s="15">
        <f t="shared" si="191"/>
        <v>2026</v>
      </c>
      <c r="V299" s="15">
        <f t="shared" si="191"/>
        <v>2027</v>
      </c>
      <c r="W299" s="15">
        <f t="shared" si="191"/>
        <v>2028</v>
      </c>
      <c r="X299" s="15">
        <f t="shared" si="191"/>
        <v>2029</v>
      </c>
      <c r="Y299" s="15">
        <f t="shared" si="191"/>
        <v>2030</v>
      </c>
      <c r="Z299" s="15">
        <f t="shared" si="191"/>
        <v>2031</v>
      </c>
      <c r="AA299" s="15">
        <f t="shared" si="191"/>
        <v>2032</v>
      </c>
      <c r="AB299" s="15">
        <f t="shared" si="191"/>
        <v>2033</v>
      </c>
      <c r="AC299" s="15">
        <f t="shared" si="191"/>
        <v>2034</v>
      </c>
      <c r="AD299" s="15">
        <f t="shared" si="191"/>
        <v>2035</v>
      </c>
      <c r="AE299" s="15">
        <f t="shared" si="191"/>
        <v>2036</v>
      </c>
      <c r="AF299" s="15">
        <f t="shared" si="191"/>
        <v>2037</v>
      </c>
      <c r="AG299" s="15">
        <f t="shared" si="191"/>
        <v>2038</v>
      </c>
      <c r="AH299" s="15">
        <f t="shared" si="191"/>
        <v>2039</v>
      </c>
      <c r="AI299" s="15">
        <f t="shared" si="191"/>
        <v>2040</v>
      </c>
      <c r="AJ299" s="15">
        <f t="shared" si="191"/>
        <v>2041</v>
      </c>
      <c r="AK299" s="15">
        <f t="shared" si="191"/>
        <v>2042</v>
      </c>
      <c r="AL299" s="15">
        <f t="shared" si="191"/>
        <v>2043</v>
      </c>
      <c r="AM299" s="15">
        <f t="shared" si="191"/>
        <v>2044</v>
      </c>
    </row>
    <row r="300" spans="2:39" x14ac:dyDescent="0.2">
      <c r="B300" s="10" t="s">
        <v>81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</row>
    <row r="301" spans="2:39" x14ac:dyDescent="0.2">
      <c r="B301" s="11"/>
      <c r="C301" s="51" t="s">
        <v>14</v>
      </c>
      <c r="D301" s="53">
        <f>D302*D303</f>
        <v>600000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</row>
    <row r="302" spans="2:39" x14ac:dyDescent="0.2">
      <c r="B302" s="11"/>
      <c r="C302" s="51" t="s">
        <v>34</v>
      </c>
      <c r="D302" s="16">
        <v>50000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</row>
    <row r="303" spans="2:39" x14ac:dyDescent="0.2">
      <c r="B303" s="11"/>
      <c r="C303" s="51" t="s">
        <v>16</v>
      </c>
      <c r="D303" s="17">
        <v>12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</row>
    <row r="304" spans="2:39" x14ac:dyDescent="0.2">
      <c r="B304" s="11"/>
      <c r="C304" s="51" t="s">
        <v>17</v>
      </c>
      <c r="D304" s="48" t="s">
        <v>82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</row>
    <row r="305" spans="2:39" x14ac:dyDescent="0.2">
      <c r="B305" s="11"/>
      <c r="C305" s="51" t="s">
        <v>36</v>
      </c>
      <c r="D305" s="18">
        <v>42005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</row>
    <row r="306" spans="2:39" x14ac:dyDescent="0.2">
      <c r="B306" s="11"/>
      <c r="C306" s="51" t="s">
        <v>37</v>
      </c>
      <c r="D306" s="18">
        <v>42370</v>
      </c>
      <c r="E306" s="11"/>
      <c r="F306" s="48" t="s">
        <v>21</v>
      </c>
      <c r="G306" s="51"/>
      <c r="H306" s="51"/>
      <c r="I306" s="11"/>
      <c r="J306" s="20">
        <f t="shared" ref="J306:AC306" si="192">(MIN(MAX($D306,DATE(J$47,1,1)),DATE(J$47+1,1,1))-MIN(MAX($D305,DATE(J$47,1,1)),DATE(J$47+1,1,1)))</f>
        <v>365</v>
      </c>
      <c r="K306" s="20">
        <f t="shared" si="192"/>
        <v>0</v>
      </c>
      <c r="L306" s="20">
        <f t="shared" si="192"/>
        <v>0</v>
      </c>
      <c r="M306" s="20">
        <f t="shared" si="192"/>
        <v>0</v>
      </c>
      <c r="N306" s="20">
        <f t="shared" si="192"/>
        <v>0</v>
      </c>
      <c r="O306" s="20">
        <f t="shared" si="192"/>
        <v>0</v>
      </c>
      <c r="P306" s="20">
        <f t="shared" si="192"/>
        <v>0</v>
      </c>
      <c r="Q306" s="20">
        <f t="shared" si="192"/>
        <v>0</v>
      </c>
      <c r="R306" s="20">
        <f t="shared" si="192"/>
        <v>0</v>
      </c>
      <c r="S306" s="20">
        <f t="shared" si="192"/>
        <v>0</v>
      </c>
      <c r="T306" s="20">
        <f t="shared" si="192"/>
        <v>0</v>
      </c>
      <c r="U306" s="20">
        <f t="shared" si="192"/>
        <v>0</v>
      </c>
      <c r="V306" s="20">
        <f t="shared" si="192"/>
        <v>0</v>
      </c>
      <c r="W306" s="20">
        <f t="shared" si="192"/>
        <v>0</v>
      </c>
      <c r="X306" s="20">
        <f t="shared" si="192"/>
        <v>0</v>
      </c>
      <c r="Y306" s="20">
        <f t="shared" si="192"/>
        <v>0</v>
      </c>
      <c r="Z306" s="20">
        <f t="shared" si="192"/>
        <v>0</v>
      </c>
      <c r="AA306" s="20">
        <f t="shared" si="192"/>
        <v>0</v>
      </c>
      <c r="AB306" s="20">
        <f t="shared" si="192"/>
        <v>0</v>
      </c>
      <c r="AC306" s="20">
        <f t="shared" si="192"/>
        <v>0</v>
      </c>
      <c r="AD306" s="20">
        <f t="shared" ref="AD306:AM306" si="193">(MIN(MAX($D306,DATE(AD$47,1,1)),DATE(AD$47+1,1,1))-MIN(MAX($D305,DATE(AD$47,1,1)),DATE(AD$47+1,1,1)))</f>
        <v>0</v>
      </c>
      <c r="AE306" s="20">
        <f t="shared" si="193"/>
        <v>0</v>
      </c>
      <c r="AF306" s="20">
        <f t="shared" si="193"/>
        <v>0</v>
      </c>
      <c r="AG306" s="20">
        <f t="shared" si="193"/>
        <v>0</v>
      </c>
      <c r="AH306" s="20">
        <f t="shared" si="193"/>
        <v>0</v>
      </c>
      <c r="AI306" s="20">
        <f t="shared" si="193"/>
        <v>0</v>
      </c>
      <c r="AJ306" s="20">
        <f t="shared" si="193"/>
        <v>0</v>
      </c>
      <c r="AK306" s="20">
        <f t="shared" si="193"/>
        <v>0</v>
      </c>
      <c r="AL306" s="20">
        <f t="shared" si="193"/>
        <v>0</v>
      </c>
      <c r="AM306" s="20">
        <f t="shared" si="193"/>
        <v>0</v>
      </c>
    </row>
    <row r="307" spans="2:39" x14ac:dyDescent="0.2">
      <c r="B307" s="11"/>
      <c r="C307" s="51" t="s">
        <v>22</v>
      </c>
      <c r="D307" s="54">
        <f>D306-D305</f>
        <v>365</v>
      </c>
      <c r="E307" s="11"/>
      <c r="F307" s="48" t="s">
        <v>23</v>
      </c>
      <c r="G307" s="51" t="s">
        <v>83</v>
      </c>
      <c r="H307" s="51" t="str">
        <f ca="1">IFERROR(INDEX(CES_Short,MATCH(Parameters!G307,CES_Pick,0)),"")</f>
        <v>Eng CM</v>
      </c>
      <c r="I307" s="11"/>
      <c r="J307" s="53">
        <f t="shared" ref="J307:AC307" si="194">$D301*J306/SUM($J306:$AC306)</f>
        <v>600000</v>
      </c>
      <c r="K307" s="53">
        <f t="shared" si="194"/>
        <v>0</v>
      </c>
      <c r="L307" s="53">
        <f t="shared" si="194"/>
        <v>0</v>
      </c>
      <c r="M307" s="53">
        <f t="shared" si="194"/>
        <v>0</v>
      </c>
      <c r="N307" s="53">
        <f t="shared" si="194"/>
        <v>0</v>
      </c>
      <c r="O307" s="53">
        <f t="shared" si="194"/>
        <v>0</v>
      </c>
      <c r="P307" s="53">
        <f t="shared" si="194"/>
        <v>0</v>
      </c>
      <c r="Q307" s="53">
        <f t="shared" si="194"/>
        <v>0</v>
      </c>
      <c r="R307" s="53">
        <f t="shared" si="194"/>
        <v>0</v>
      </c>
      <c r="S307" s="53">
        <f t="shared" si="194"/>
        <v>0</v>
      </c>
      <c r="T307" s="53">
        <f t="shared" si="194"/>
        <v>0</v>
      </c>
      <c r="U307" s="53">
        <f t="shared" si="194"/>
        <v>0</v>
      </c>
      <c r="V307" s="53">
        <f t="shared" si="194"/>
        <v>0</v>
      </c>
      <c r="W307" s="53">
        <f t="shared" si="194"/>
        <v>0</v>
      </c>
      <c r="X307" s="53">
        <f t="shared" si="194"/>
        <v>0</v>
      </c>
      <c r="Y307" s="53">
        <f t="shared" si="194"/>
        <v>0</v>
      </c>
      <c r="Z307" s="53">
        <f t="shared" si="194"/>
        <v>0</v>
      </c>
      <c r="AA307" s="53">
        <f t="shared" si="194"/>
        <v>0</v>
      </c>
      <c r="AB307" s="53">
        <f t="shared" si="194"/>
        <v>0</v>
      </c>
      <c r="AC307" s="53">
        <f t="shared" si="194"/>
        <v>0</v>
      </c>
      <c r="AD307" s="53">
        <f t="shared" ref="AD307:AM307" si="195">$D301*AD306/SUM($J306:$AC306)</f>
        <v>0</v>
      </c>
      <c r="AE307" s="53">
        <f t="shared" si="195"/>
        <v>0</v>
      </c>
      <c r="AF307" s="53">
        <f t="shared" si="195"/>
        <v>0</v>
      </c>
      <c r="AG307" s="53">
        <f t="shared" si="195"/>
        <v>0</v>
      </c>
      <c r="AH307" s="53">
        <f t="shared" si="195"/>
        <v>0</v>
      </c>
      <c r="AI307" s="53">
        <f t="shared" si="195"/>
        <v>0</v>
      </c>
      <c r="AJ307" s="53">
        <f t="shared" si="195"/>
        <v>0</v>
      </c>
      <c r="AK307" s="53">
        <f t="shared" si="195"/>
        <v>0</v>
      </c>
      <c r="AL307" s="53">
        <f t="shared" si="195"/>
        <v>0</v>
      </c>
      <c r="AM307" s="53">
        <f t="shared" si="195"/>
        <v>0</v>
      </c>
    </row>
    <row r="308" spans="2:39" x14ac:dyDescent="0.2">
      <c r="B308" s="11"/>
      <c r="C308" s="55" t="s">
        <v>25</v>
      </c>
      <c r="D308" s="19">
        <v>0</v>
      </c>
      <c r="E308" s="11"/>
      <c r="F308" s="56" t="s">
        <v>26</v>
      </c>
      <c r="G308" s="51" t="s">
        <v>27</v>
      </c>
      <c r="H308" s="51" t="str">
        <f ca="1">IFERROR(INDEX(CES_Short,MATCH(Parameters!G308,CES_Pick,0)),"")</f>
        <v>Mobilization</v>
      </c>
      <c r="I308" s="11"/>
      <c r="J308" s="57">
        <f t="shared" ref="J308:AC308" si="196">J307*$D308</f>
        <v>0</v>
      </c>
      <c r="K308" s="57">
        <f t="shared" si="196"/>
        <v>0</v>
      </c>
      <c r="L308" s="57">
        <f t="shared" si="196"/>
        <v>0</v>
      </c>
      <c r="M308" s="57">
        <f t="shared" si="196"/>
        <v>0</v>
      </c>
      <c r="N308" s="57">
        <f t="shared" si="196"/>
        <v>0</v>
      </c>
      <c r="O308" s="57">
        <f t="shared" si="196"/>
        <v>0</v>
      </c>
      <c r="P308" s="57">
        <f t="shared" si="196"/>
        <v>0</v>
      </c>
      <c r="Q308" s="57">
        <f t="shared" si="196"/>
        <v>0</v>
      </c>
      <c r="R308" s="57">
        <f t="shared" si="196"/>
        <v>0</v>
      </c>
      <c r="S308" s="57">
        <f t="shared" si="196"/>
        <v>0</v>
      </c>
      <c r="T308" s="57">
        <f t="shared" si="196"/>
        <v>0</v>
      </c>
      <c r="U308" s="57">
        <f t="shared" si="196"/>
        <v>0</v>
      </c>
      <c r="V308" s="57">
        <f t="shared" si="196"/>
        <v>0</v>
      </c>
      <c r="W308" s="57">
        <f t="shared" si="196"/>
        <v>0</v>
      </c>
      <c r="X308" s="57">
        <f t="shared" si="196"/>
        <v>0</v>
      </c>
      <c r="Y308" s="57">
        <f t="shared" si="196"/>
        <v>0</v>
      </c>
      <c r="Z308" s="57">
        <f t="shared" si="196"/>
        <v>0</v>
      </c>
      <c r="AA308" s="57">
        <f t="shared" si="196"/>
        <v>0</v>
      </c>
      <c r="AB308" s="57">
        <f t="shared" si="196"/>
        <v>0</v>
      </c>
      <c r="AC308" s="57">
        <f t="shared" si="196"/>
        <v>0</v>
      </c>
      <c r="AD308" s="57">
        <f t="shared" ref="AD308:AM308" si="197">AD307*$D308</f>
        <v>0</v>
      </c>
      <c r="AE308" s="57">
        <f t="shared" si="197"/>
        <v>0</v>
      </c>
      <c r="AF308" s="57">
        <f t="shared" si="197"/>
        <v>0</v>
      </c>
      <c r="AG308" s="57">
        <f t="shared" si="197"/>
        <v>0</v>
      </c>
      <c r="AH308" s="57">
        <f t="shared" si="197"/>
        <v>0</v>
      </c>
      <c r="AI308" s="57">
        <f t="shared" si="197"/>
        <v>0</v>
      </c>
      <c r="AJ308" s="57">
        <f t="shared" si="197"/>
        <v>0</v>
      </c>
      <c r="AK308" s="57">
        <f t="shared" si="197"/>
        <v>0</v>
      </c>
      <c r="AL308" s="57">
        <f t="shared" si="197"/>
        <v>0</v>
      </c>
      <c r="AM308" s="57">
        <f t="shared" si="197"/>
        <v>0</v>
      </c>
    </row>
    <row r="309" spans="2:39" x14ac:dyDescent="0.2">
      <c r="B309" s="11"/>
      <c r="C309" s="55" t="s">
        <v>28</v>
      </c>
      <c r="D309" s="19">
        <v>0.35</v>
      </c>
      <c r="E309" s="11"/>
      <c r="F309" s="56" t="s">
        <v>29</v>
      </c>
      <c r="G309" s="51" t="s">
        <v>30</v>
      </c>
      <c r="H309" s="51" t="str">
        <f ca="1">IFERROR(INDEX(CES_Short,MATCH(Parameters!G309,CES_Pick,0)),"")</f>
        <v>Contingency</v>
      </c>
      <c r="I309" s="11"/>
      <c r="J309" s="57">
        <f t="shared" ref="J309:AC309" si="198">(J307+J308)*$D309</f>
        <v>210000</v>
      </c>
      <c r="K309" s="57">
        <f t="shared" si="198"/>
        <v>0</v>
      </c>
      <c r="L309" s="57">
        <f t="shared" si="198"/>
        <v>0</v>
      </c>
      <c r="M309" s="57">
        <f t="shared" si="198"/>
        <v>0</v>
      </c>
      <c r="N309" s="57">
        <f t="shared" si="198"/>
        <v>0</v>
      </c>
      <c r="O309" s="57">
        <f t="shared" si="198"/>
        <v>0</v>
      </c>
      <c r="P309" s="57">
        <f t="shared" si="198"/>
        <v>0</v>
      </c>
      <c r="Q309" s="57">
        <f t="shared" si="198"/>
        <v>0</v>
      </c>
      <c r="R309" s="57">
        <f t="shared" si="198"/>
        <v>0</v>
      </c>
      <c r="S309" s="57">
        <f t="shared" si="198"/>
        <v>0</v>
      </c>
      <c r="T309" s="57">
        <f t="shared" si="198"/>
        <v>0</v>
      </c>
      <c r="U309" s="57">
        <f t="shared" si="198"/>
        <v>0</v>
      </c>
      <c r="V309" s="57">
        <f t="shared" si="198"/>
        <v>0</v>
      </c>
      <c r="W309" s="57">
        <f t="shared" si="198"/>
        <v>0</v>
      </c>
      <c r="X309" s="57">
        <f t="shared" si="198"/>
        <v>0</v>
      </c>
      <c r="Y309" s="57">
        <f t="shared" si="198"/>
        <v>0</v>
      </c>
      <c r="Z309" s="57">
        <f t="shared" si="198"/>
        <v>0</v>
      </c>
      <c r="AA309" s="57">
        <f t="shared" si="198"/>
        <v>0</v>
      </c>
      <c r="AB309" s="57">
        <f t="shared" si="198"/>
        <v>0</v>
      </c>
      <c r="AC309" s="57">
        <f t="shared" si="198"/>
        <v>0</v>
      </c>
      <c r="AD309" s="57">
        <f t="shared" ref="AD309:AM309" si="199">(AD307+AD308)*$D309</f>
        <v>0</v>
      </c>
      <c r="AE309" s="57">
        <f t="shared" si="199"/>
        <v>0</v>
      </c>
      <c r="AF309" s="57">
        <f t="shared" si="199"/>
        <v>0</v>
      </c>
      <c r="AG309" s="57">
        <f t="shared" si="199"/>
        <v>0</v>
      </c>
      <c r="AH309" s="57">
        <f t="shared" si="199"/>
        <v>0</v>
      </c>
      <c r="AI309" s="57">
        <f t="shared" si="199"/>
        <v>0</v>
      </c>
      <c r="AJ309" s="57">
        <f t="shared" si="199"/>
        <v>0</v>
      </c>
      <c r="AK309" s="57">
        <f t="shared" si="199"/>
        <v>0</v>
      </c>
      <c r="AL309" s="57">
        <f t="shared" si="199"/>
        <v>0</v>
      </c>
      <c r="AM309" s="57">
        <f t="shared" si="199"/>
        <v>0</v>
      </c>
    </row>
    <row r="310" spans="2:39" ht="63.75" x14ac:dyDescent="0.2">
      <c r="B310" s="11"/>
      <c r="C310" s="51" t="s">
        <v>31</v>
      </c>
      <c r="D310" s="58" t="s">
        <v>32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</row>
    <row r="311" spans="2:39" x14ac:dyDescent="0.2">
      <c r="B311" s="11"/>
      <c r="C311" s="11"/>
      <c r="D311" s="11"/>
      <c r="E311" s="11"/>
      <c r="F311" s="15" t="s">
        <v>139</v>
      </c>
      <c r="G311" s="15" t="s">
        <v>11</v>
      </c>
      <c r="H311" s="15" t="s">
        <v>12</v>
      </c>
      <c r="I311" s="11"/>
      <c r="J311" s="15">
        <f>Start_Year</f>
        <v>2015</v>
      </c>
      <c r="K311" s="15">
        <f t="shared" ref="K311:AM311" si="200">J311+1</f>
        <v>2016</v>
      </c>
      <c r="L311" s="15">
        <f t="shared" si="200"/>
        <v>2017</v>
      </c>
      <c r="M311" s="15">
        <f t="shared" si="200"/>
        <v>2018</v>
      </c>
      <c r="N311" s="15">
        <f t="shared" si="200"/>
        <v>2019</v>
      </c>
      <c r="O311" s="15">
        <f t="shared" si="200"/>
        <v>2020</v>
      </c>
      <c r="P311" s="15">
        <f t="shared" si="200"/>
        <v>2021</v>
      </c>
      <c r="Q311" s="15">
        <f t="shared" si="200"/>
        <v>2022</v>
      </c>
      <c r="R311" s="15">
        <f t="shared" si="200"/>
        <v>2023</v>
      </c>
      <c r="S311" s="15">
        <f t="shared" si="200"/>
        <v>2024</v>
      </c>
      <c r="T311" s="15">
        <f t="shared" si="200"/>
        <v>2025</v>
      </c>
      <c r="U311" s="15">
        <f t="shared" si="200"/>
        <v>2026</v>
      </c>
      <c r="V311" s="15">
        <f t="shared" si="200"/>
        <v>2027</v>
      </c>
      <c r="W311" s="15">
        <f t="shared" si="200"/>
        <v>2028</v>
      </c>
      <c r="X311" s="15">
        <f t="shared" si="200"/>
        <v>2029</v>
      </c>
      <c r="Y311" s="15">
        <f t="shared" si="200"/>
        <v>2030</v>
      </c>
      <c r="Z311" s="15">
        <f t="shared" si="200"/>
        <v>2031</v>
      </c>
      <c r="AA311" s="15">
        <f t="shared" si="200"/>
        <v>2032</v>
      </c>
      <c r="AB311" s="15">
        <f t="shared" si="200"/>
        <v>2033</v>
      </c>
      <c r="AC311" s="15">
        <f t="shared" si="200"/>
        <v>2034</v>
      </c>
      <c r="AD311" s="15">
        <f t="shared" si="200"/>
        <v>2035</v>
      </c>
      <c r="AE311" s="15">
        <f t="shared" si="200"/>
        <v>2036</v>
      </c>
      <c r="AF311" s="15">
        <f t="shared" si="200"/>
        <v>2037</v>
      </c>
      <c r="AG311" s="15">
        <f t="shared" si="200"/>
        <v>2038</v>
      </c>
      <c r="AH311" s="15">
        <f t="shared" si="200"/>
        <v>2039</v>
      </c>
      <c r="AI311" s="15">
        <f t="shared" si="200"/>
        <v>2040</v>
      </c>
      <c r="AJ311" s="15">
        <f t="shared" si="200"/>
        <v>2041</v>
      </c>
      <c r="AK311" s="15">
        <f t="shared" si="200"/>
        <v>2042</v>
      </c>
      <c r="AL311" s="15">
        <f t="shared" si="200"/>
        <v>2043</v>
      </c>
      <c r="AM311" s="15">
        <f t="shared" si="200"/>
        <v>2044</v>
      </c>
    </row>
    <row r="312" spans="2:39" x14ac:dyDescent="0.2">
      <c r="B312" s="10" t="s">
        <v>84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</row>
    <row r="313" spans="2:39" x14ac:dyDescent="0.2">
      <c r="B313" s="11"/>
      <c r="C313" s="51" t="s">
        <v>14</v>
      </c>
      <c r="D313" s="53">
        <f>D314*D315</f>
        <v>232000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</row>
    <row r="314" spans="2:39" x14ac:dyDescent="0.2">
      <c r="B314" s="11"/>
      <c r="C314" s="51" t="s">
        <v>34</v>
      </c>
      <c r="D314" s="16">
        <v>8000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</row>
    <row r="315" spans="2:39" x14ac:dyDescent="0.2">
      <c r="B315" s="11"/>
      <c r="C315" s="51" t="s">
        <v>16</v>
      </c>
      <c r="D315" s="17">
        <v>29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</row>
    <row r="316" spans="2:39" x14ac:dyDescent="0.2">
      <c r="B316" s="11"/>
      <c r="C316" s="51" t="s">
        <v>17</v>
      </c>
      <c r="D316" s="48" t="s">
        <v>85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</row>
    <row r="317" spans="2:39" x14ac:dyDescent="0.2">
      <c r="B317" s="11"/>
      <c r="C317" s="51" t="s">
        <v>36</v>
      </c>
      <c r="D317" s="18">
        <v>42370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</row>
    <row r="318" spans="2:39" x14ac:dyDescent="0.2">
      <c r="B318" s="11"/>
      <c r="C318" s="51" t="s">
        <v>37</v>
      </c>
      <c r="D318" s="18">
        <v>52962</v>
      </c>
      <c r="E318" s="11"/>
      <c r="F318" s="48" t="s">
        <v>21</v>
      </c>
      <c r="G318" s="51"/>
      <c r="H318" s="51"/>
      <c r="I318" s="11"/>
      <c r="J318" s="20">
        <f t="shared" ref="J318" si="201">(MIN(MAX($D318,DATE(J$47,1,1)),DATE(J$47+1,1,1))-MIN(MAX($D317,DATE(J$47,1,1)),DATE(J$47+1,1,1)))</f>
        <v>0</v>
      </c>
      <c r="K318" s="20">
        <v>365</v>
      </c>
      <c r="L318" s="20">
        <v>365</v>
      </c>
      <c r="M318" s="20">
        <v>365</v>
      </c>
      <c r="N318" s="20">
        <v>365</v>
      </c>
      <c r="O318" s="20">
        <v>365</v>
      </c>
      <c r="P318" s="20">
        <v>365</v>
      </c>
      <c r="Q318" s="20">
        <v>365</v>
      </c>
      <c r="R318" s="20">
        <v>365</v>
      </c>
      <c r="S318" s="20">
        <v>365</v>
      </c>
      <c r="T318" s="20">
        <v>365</v>
      </c>
      <c r="U318" s="20">
        <v>365</v>
      </c>
      <c r="V318" s="20">
        <v>365</v>
      </c>
      <c r="W318" s="20">
        <v>365</v>
      </c>
      <c r="X318" s="20">
        <v>365</v>
      </c>
      <c r="Y318" s="20">
        <v>365</v>
      </c>
      <c r="Z318" s="20">
        <v>365</v>
      </c>
      <c r="AA318" s="20">
        <v>365</v>
      </c>
      <c r="AB318" s="20">
        <v>365</v>
      </c>
      <c r="AC318" s="20">
        <v>365</v>
      </c>
      <c r="AD318" s="20">
        <v>365</v>
      </c>
      <c r="AE318" s="20">
        <v>365</v>
      </c>
      <c r="AF318" s="20">
        <v>365</v>
      </c>
      <c r="AG318" s="20">
        <v>365</v>
      </c>
      <c r="AH318" s="20">
        <v>365</v>
      </c>
      <c r="AI318" s="20">
        <v>365</v>
      </c>
      <c r="AJ318" s="20">
        <v>365</v>
      </c>
      <c r="AK318" s="20">
        <v>365</v>
      </c>
      <c r="AL318" s="20">
        <v>365</v>
      </c>
      <c r="AM318" s="20">
        <v>365</v>
      </c>
    </row>
    <row r="319" spans="2:39" x14ac:dyDescent="0.2">
      <c r="B319" s="11"/>
      <c r="C319" s="51" t="s">
        <v>22</v>
      </c>
      <c r="D319" s="54">
        <f>D318-D317</f>
        <v>10592</v>
      </c>
      <c r="E319" s="11"/>
      <c r="F319" s="48" t="s">
        <v>23</v>
      </c>
      <c r="G319" s="51" t="s">
        <v>86</v>
      </c>
      <c r="H319" s="51" t="str">
        <f ca="1">IFERROR(INDEX(CES_Short,MATCH(Parameters!G319,CES_Pick,0)),"")</f>
        <v>Track Maint</v>
      </c>
      <c r="I319" s="11"/>
      <c r="J319" s="53">
        <f>$D313*J318/SUM($J318:$AM318)</f>
        <v>0</v>
      </c>
      <c r="K319" s="53">
        <f t="shared" ref="K319:AM319" si="202">$D313*K318/SUM($J318:$AM318)</f>
        <v>8000</v>
      </c>
      <c r="L319" s="53">
        <f t="shared" si="202"/>
        <v>8000</v>
      </c>
      <c r="M319" s="53">
        <f t="shared" si="202"/>
        <v>8000</v>
      </c>
      <c r="N319" s="53">
        <f t="shared" si="202"/>
        <v>8000</v>
      </c>
      <c r="O319" s="53">
        <f t="shared" si="202"/>
        <v>8000</v>
      </c>
      <c r="P319" s="53">
        <f t="shared" si="202"/>
        <v>8000</v>
      </c>
      <c r="Q319" s="53">
        <f t="shared" si="202"/>
        <v>8000</v>
      </c>
      <c r="R319" s="53">
        <f t="shared" si="202"/>
        <v>8000</v>
      </c>
      <c r="S319" s="53">
        <f t="shared" si="202"/>
        <v>8000</v>
      </c>
      <c r="T319" s="53">
        <f t="shared" si="202"/>
        <v>8000</v>
      </c>
      <c r="U319" s="53">
        <f t="shared" si="202"/>
        <v>8000</v>
      </c>
      <c r="V319" s="53">
        <f t="shared" si="202"/>
        <v>8000</v>
      </c>
      <c r="W319" s="53">
        <f t="shared" si="202"/>
        <v>8000</v>
      </c>
      <c r="X319" s="53">
        <f t="shared" si="202"/>
        <v>8000</v>
      </c>
      <c r="Y319" s="53">
        <f t="shared" si="202"/>
        <v>8000</v>
      </c>
      <c r="Z319" s="53">
        <f t="shared" si="202"/>
        <v>8000</v>
      </c>
      <c r="AA319" s="53">
        <f t="shared" si="202"/>
        <v>8000</v>
      </c>
      <c r="AB319" s="53">
        <f t="shared" si="202"/>
        <v>8000</v>
      </c>
      <c r="AC319" s="53">
        <f t="shared" si="202"/>
        <v>8000</v>
      </c>
      <c r="AD319" s="53">
        <f t="shared" si="202"/>
        <v>8000</v>
      </c>
      <c r="AE319" s="53">
        <f t="shared" si="202"/>
        <v>8000</v>
      </c>
      <c r="AF319" s="53">
        <f t="shared" si="202"/>
        <v>8000</v>
      </c>
      <c r="AG319" s="53">
        <f t="shared" si="202"/>
        <v>8000</v>
      </c>
      <c r="AH319" s="53">
        <f t="shared" si="202"/>
        <v>8000</v>
      </c>
      <c r="AI319" s="53">
        <f t="shared" si="202"/>
        <v>8000</v>
      </c>
      <c r="AJ319" s="53">
        <f t="shared" si="202"/>
        <v>8000</v>
      </c>
      <c r="AK319" s="53">
        <f t="shared" si="202"/>
        <v>8000</v>
      </c>
      <c r="AL319" s="53">
        <f t="shared" si="202"/>
        <v>8000</v>
      </c>
      <c r="AM319" s="53">
        <f t="shared" si="202"/>
        <v>8000</v>
      </c>
    </row>
    <row r="320" spans="2:39" x14ac:dyDescent="0.2">
      <c r="B320" s="11"/>
      <c r="C320" s="55" t="s">
        <v>25</v>
      </c>
      <c r="D320" s="19">
        <v>0</v>
      </c>
      <c r="E320" s="11"/>
      <c r="F320" s="56" t="s">
        <v>26</v>
      </c>
      <c r="G320" s="51" t="s">
        <v>27</v>
      </c>
      <c r="H320" s="51" t="str">
        <f ca="1">IFERROR(INDEX(CES_Short,MATCH(Parameters!G320,CES_Pick,0)),"")</f>
        <v>Mobilization</v>
      </c>
      <c r="I320" s="11"/>
      <c r="J320" s="57">
        <f t="shared" ref="J320:AM320" si="203">J319*$D320</f>
        <v>0</v>
      </c>
      <c r="K320" s="57">
        <f t="shared" si="203"/>
        <v>0</v>
      </c>
      <c r="L320" s="57">
        <f t="shared" si="203"/>
        <v>0</v>
      </c>
      <c r="M320" s="57">
        <f t="shared" si="203"/>
        <v>0</v>
      </c>
      <c r="N320" s="57">
        <f t="shared" si="203"/>
        <v>0</v>
      </c>
      <c r="O320" s="57">
        <f t="shared" si="203"/>
        <v>0</v>
      </c>
      <c r="P320" s="57">
        <f t="shared" si="203"/>
        <v>0</v>
      </c>
      <c r="Q320" s="57">
        <f t="shared" si="203"/>
        <v>0</v>
      </c>
      <c r="R320" s="57">
        <f t="shared" si="203"/>
        <v>0</v>
      </c>
      <c r="S320" s="57">
        <f t="shared" si="203"/>
        <v>0</v>
      </c>
      <c r="T320" s="57">
        <f t="shared" si="203"/>
        <v>0</v>
      </c>
      <c r="U320" s="57">
        <f t="shared" si="203"/>
        <v>0</v>
      </c>
      <c r="V320" s="57">
        <f t="shared" si="203"/>
        <v>0</v>
      </c>
      <c r="W320" s="57">
        <f t="shared" si="203"/>
        <v>0</v>
      </c>
      <c r="X320" s="57">
        <f t="shared" si="203"/>
        <v>0</v>
      </c>
      <c r="Y320" s="57">
        <f t="shared" si="203"/>
        <v>0</v>
      </c>
      <c r="Z320" s="57">
        <f t="shared" si="203"/>
        <v>0</v>
      </c>
      <c r="AA320" s="57">
        <f t="shared" si="203"/>
        <v>0</v>
      </c>
      <c r="AB320" s="57">
        <f t="shared" si="203"/>
        <v>0</v>
      </c>
      <c r="AC320" s="57">
        <f t="shared" si="203"/>
        <v>0</v>
      </c>
      <c r="AD320" s="57">
        <f t="shared" si="203"/>
        <v>0</v>
      </c>
      <c r="AE320" s="57">
        <f t="shared" si="203"/>
        <v>0</v>
      </c>
      <c r="AF320" s="57">
        <f t="shared" si="203"/>
        <v>0</v>
      </c>
      <c r="AG320" s="57">
        <f t="shared" si="203"/>
        <v>0</v>
      </c>
      <c r="AH320" s="57">
        <f t="shared" si="203"/>
        <v>0</v>
      </c>
      <c r="AI320" s="57">
        <f t="shared" si="203"/>
        <v>0</v>
      </c>
      <c r="AJ320" s="57">
        <f t="shared" si="203"/>
        <v>0</v>
      </c>
      <c r="AK320" s="57">
        <f t="shared" si="203"/>
        <v>0</v>
      </c>
      <c r="AL320" s="57">
        <f t="shared" si="203"/>
        <v>0</v>
      </c>
      <c r="AM320" s="57">
        <f t="shared" si="203"/>
        <v>0</v>
      </c>
    </row>
    <row r="321" spans="2:39" x14ac:dyDescent="0.2">
      <c r="B321" s="11"/>
      <c r="C321" s="55" t="s">
        <v>28</v>
      </c>
      <c r="D321" s="19">
        <v>0</v>
      </c>
      <c r="E321" s="11"/>
      <c r="F321" s="56" t="s">
        <v>29</v>
      </c>
      <c r="G321" s="51" t="s">
        <v>30</v>
      </c>
      <c r="H321" s="51" t="str">
        <f ca="1">IFERROR(INDEX(CES_Short,MATCH(Parameters!G321,CES_Pick,0)),"")</f>
        <v>Contingency</v>
      </c>
      <c r="I321" s="11"/>
      <c r="J321" s="57">
        <f t="shared" ref="J321:AM321" si="204">(J319+J320)*$D321</f>
        <v>0</v>
      </c>
      <c r="K321" s="57">
        <f t="shared" si="204"/>
        <v>0</v>
      </c>
      <c r="L321" s="57">
        <f t="shared" si="204"/>
        <v>0</v>
      </c>
      <c r="M321" s="57">
        <f t="shared" si="204"/>
        <v>0</v>
      </c>
      <c r="N321" s="57">
        <f t="shared" si="204"/>
        <v>0</v>
      </c>
      <c r="O321" s="57">
        <f t="shared" si="204"/>
        <v>0</v>
      </c>
      <c r="P321" s="57">
        <f t="shared" si="204"/>
        <v>0</v>
      </c>
      <c r="Q321" s="57">
        <f t="shared" si="204"/>
        <v>0</v>
      </c>
      <c r="R321" s="57">
        <f t="shared" si="204"/>
        <v>0</v>
      </c>
      <c r="S321" s="57">
        <f t="shared" si="204"/>
        <v>0</v>
      </c>
      <c r="T321" s="57">
        <f t="shared" si="204"/>
        <v>0</v>
      </c>
      <c r="U321" s="57">
        <f t="shared" si="204"/>
        <v>0</v>
      </c>
      <c r="V321" s="57">
        <f t="shared" si="204"/>
        <v>0</v>
      </c>
      <c r="W321" s="57">
        <f t="shared" si="204"/>
        <v>0</v>
      </c>
      <c r="X321" s="57">
        <f t="shared" si="204"/>
        <v>0</v>
      </c>
      <c r="Y321" s="57">
        <f t="shared" si="204"/>
        <v>0</v>
      </c>
      <c r="Z321" s="57">
        <f t="shared" si="204"/>
        <v>0</v>
      </c>
      <c r="AA321" s="57">
        <f t="shared" si="204"/>
        <v>0</v>
      </c>
      <c r="AB321" s="57">
        <f t="shared" si="204"/>
        <v>0</v>
      </c>
      <c r="AC321" s="57">
        <f t="shared" si="204"/>
        <v>0</v>
      </c>
      <c r="AD321" s="57">
        <f t="shared" si="204"/>
        <v>0</v>
      </c>
      <c r="AE321" s="57">
        <f t="shared" si="204"/>
        <v>0</v>
      </c>
      <c r="AF321" s="57">
        <f t="shared" si="204"/>
        <v>0</v>
      </c>
      <c r="AG321" s="57">
        <f t="shared" si="204"/>
        <v>0</v>
      </c>
      <c r="AH321" s="57">
        <f t="shared" si="204"/>
        <v>0</v>
      </c>
      <c r="AI321" s="57">
        <f t="shared" si="204"/>
        <v>0</v>
      </c>
      <c r="AJ321" s="57">
        <f t="shared" si="204"/>
        <v>0</v>
      </c>
      <c r="AK321" s="57">
        <f t="shared" si="204"/>
        <v>0</v>
      </c>
      <c r="AL321" s="57">
        <f t="shared" si="204"/>
        <v>0</v>
      </c>
      <c r="AM321" s="57">
        <f t="shared" si="204"/>
        <v>0</v>
      </c>
    </row>
    <row r="322" spans="2:39" ht="63.75" x14ac:dyDescent="0.2">
      <c r="B322" s="11"/>
      <c r="C322" s="51" t="s">
        <v>31</v>
      </c>
      <c r="D322" s="58" t="s">
        <v>32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</row>
    <row r="324" spans="2:39" x14ac:dyDescent="0.2">
      <c r="B324" s="3" t="s">
        <v>152</v>
      </c>
    </row>
    <row r="326" spans="2:39" x14ac:dyDescent="0.2">
      <c r="B326" s="55" t="s">
        <v>153</v>
      </c>
      <c r="C326" s="19">
        <v>7.0000000000000007E-2</v>
      </c>
    </row>
    <row r="327" spans="2:39" x14ac:dyDescent="0.2">
      <c r="B327" s="55" t="s">
        <v>154</v>
      </c>
      <c r="C327" s="19">
        <v>0.03</v>
      </c>
    </row>
    <row r="329" spans="2:39" x14ac:dyDescent="0.2">
      <c r="B329" s="39" t="s">
        <v>215</v>
      </c>
      <c r="J329" s="2" t="s">
        <v>181</v>
      </c>
    </row>
    <row r="330" spans="2:39" x14ac:dyDescent="0.2">
      <c r="J330" s="15">
        <f>Start_Year</f>
        <v>2015</v>
      </c>
      <c r="K330" s="15">
        <f t="shared" ref="K330:AM330" si="205">J330+1</f>
        <v>2016</v>
      </c>
      <c r="L330" s="15">
        <f t="shared" si="205"/>
        <v>2017</v>
      </c>
      <c r="M330" s="15">
        <f t="shared" si="205"/>
        <v>2018</v>
      </c>
      <c r="N330" s="15">
        <f t="shared" si="205"/>
        <v>2019</v>
      </c>
      <c r="O330" s="15">
        <f t="shared" si="205"/>
        <v>2020</v>
      </c>
      <c r="P330" s="15">
        <f t="shared" si="205"/>
        <v>2021</v>
      </c>
      <c r="Q330" s="15">
        <f t="shared" si="205"/>
        <v>2022</v>
      </c>
      <c r="R330" s="15">
        <f t="shared" si="205"/>
        <v>2023</v>
      </c>
      <c r="S330" s="15">
        <f t="shared" si="205"/>
        <v>2024</v>
      </c>
      <c r="T330" s="15">
        <f t="shared" si="205"/>
        <v>2025</v>
      </c>
      <c r="U330" s="15">
        <f t="shared" si="205"/>
        <v>2026</v>
      </c>
      <c r="V330" s="15">
        <f t="shared" si="205"/>
        <v>2027</v>
      </c>
      <c r="W330" s="15">
        <f t="shared" si="205"/>
        <v>2028</v>
      </c>
      <c r="X330" s="15">
        <f t="shared" si="205"/>
        <v>2029</v>
      </c>
      <c r="Y330" s="15">
        <f t="shared" si="205"/>
        <v>2030</v>
      </c>
      <c r="Z330" s="15">
        <f t="shared" si="205"/>
        <v>2031</v>
      </c>
      <c r="AA330" s="15">
        <f t="shared" si="205"/>
        <v>2032</v>
      </c>
      <c r="AB330" s="15">
        <f t="shared" si="205"/>
        <v>2033</v>
      </c>
      <c r="AC330" s="15">
        <f t="shared" si="205"/>
        <v>2034</v>
      </c>
      <c r="AD330" s="15">
        <f t="shared" si="205"/>
        <v>2035</v>
      </c>
      <c r="AE330" s="15">
        <f t="shared" si="205"/>
        <v>2036</v>
      </c>
      <c r="AF330" s="15">
        <f t="shared" si="205"/>
        <v>2037</v>
      </c>
      <c r="AG330" s="15">
        <f t="shared" si="205"/>
        <v>2038</v>
      </c>
      <c r="AH330" s="15">
        <f t="shared" si="205"/>
        <v>2039</v>
      </c>
      <c r="AI330" s="15">
        <f t="shared" si="205"/>
        <v>2040</v>
      </c>
      <c r="AJ330" s="15">
        <f t="shared" si="205"/>
        <v>2041</v>
      </c>
      <c r="AK330" s="15">
        <f t="shared" si="205"/>
        <v>2042</v>
      </c>
      <c r="AL330" s="15">
        <f t="shared" si="205"/>
        <v>2043</v>
      </c>
      <c r="AM330" s="15">
        <f t="shared" si="205"/>
        <v>2044</v>
      </c>
    </row>
    <row r="331" spans="2:39" x14ac:dyDescent="0.2">
      <c r="B331" s="11" t="s">
        <v>165</v>
      </c>
      <c r="F331" s="48" t="s">
        <v>160</v>
      </c>
      <c r="G331" s="50" t="s">
        <v>183</v>
      </c>
      <c r="J331" s="17">
        <v>18</v>
      </c>
      <c r="K331" s="17">
        <v>18</v>
      </c>
      <c r="L331" s="17">
        <v>18</v>
      </c>
      <c r="M331" s="17">
        <v>18</v>
      </c>
      <c r="N331" s="17">
        <v>18</v>
      </c>
      <c r="O331" s="17">
        <v>18</v>
      </c>
      <c r="P331" s="17">
        <v>18</v>
      </c>
      <c r="Q331" s="17">
        <v>18</v>
      </c>
      <c r="R331" s="17">
        <v>18</v>
      </c>
      <c r="S331" s="17">
        <v>18</v>
      </c>
      <c r="T331" s="17">
        <v>18</v>
      </c>
      <c r="U331" s="17">
        <v>18</v>
      </c>
      <c r="V331" s="17">
        <v>18</v>
      </c>
      <c r="W331" s="17">
        <v>18</v>
      </c>
      <c r="X331" s="17">
        <v>18</v>
      </c>
      <c r="Y331" s="17">
        <v>18</v>
      </c>
      <c r="Z331" s="17">
        <v>18</v>
      </c>
      <c r="AA331" s="17">
        <v>18</v>
      </c>
      <c r="AB331" s="17">
        <v>18</v>
      </c>
      <c r="AC331" s="17">
        <v>18</v>
      </c>
      <c r="AD331" s="17">
        <v>18</v>
      </c>
      <c r="AE331" s="17">
        <v>18</v>
      </c>
      <c r="AF331" s="17">
        <v>18</v>
      </c>
      <c r="AG331" s="17">
        <v>18</v>
      </c>
      <c r="AH331" s="17">
        <v>18</v>
      </c>
      <c r="AI331" s="17">
        <v>18</v>
      </c>
      <c r="AJ331" s="17">
        <v>18</v>
      </c>
      <c r="AK331" s="17">
        <v>18</v>
      </c>
      <c r="AL331" s="17">
        <v>18</v>
      </c>
      <c r="AM331" s="17">
        <v>18</v>
      </c>
    </row>
    <row r="332" spans="2:39" x14ac:dyDescent="0.2">
      <c r="B332" s="34">
        <v>-1</v>
      </c>
      <c r="C332" s="51" t="s">
        <v>176</v>
      </c>
      <c r="F332" s="48" t="s">
        <v>161</v>
      </c>
      <c r="G332" s="50" t="s">
        <v>183</v>
      </c>
      <c r="J332" s="17">
        <v>21</v>
      </c>
      <c r="K332" s="17">
        <v>22</v>
      </c>
      <c r="L332" s="17">
        <v>23</v>
      </c>
      <c r="M332" s="17">
        <v>24</v>
      </c>
      <c r="N332" s="17">
        <f t="shared" ref="N332:AM332" si="206">+M332</f>
        <v>24</v>
      </c>
      <c r="O332" s="17">
        <f t="shared" si="206"/>
        <v>24</v>
      </c>
      <c r="P332" s="17">
        <f t="shared" si="206"/>
        <v>24</v>
      </c>
      <c r="Q332" s="17">
        <f t="shared" si="206"/>
        <v>24</v>
      </c>
      <c r="R332" s="17">
        <f t="shared" si="206"/>
        <v>24</v>
      </c>
      <c r="S332" s="17">
        <f t="shared" si="206"/>
        <v>24</v>
      </c>
      <c r="T332" s="17">
        <f t="shared" si="206"/>
        <v>24</v>
      </c>
      <c r="U332" s="17">
        <f t="shared" si="206"/>
        <v>24</v>
      </c>
      <c r="V332" s="17">
        <f t="shared" si="206"/>
        <v>24</v>
      </c>
      <c r="W332" s="17">
        <f t="shared" si="206"/>
        <v>24</v>
      </c>
      <c r="X332" s="17">
        <f t="shared" si="206"/>
        <v>24</v>
      </c>
      <c r="Y332" s="17">
        <f t="shared" si="206"/>
        <v>24</v>
      </c>
      <c r="Z332" s="17">
        <f t="shared" si="206"/>
        <v>24</v>
      </c>
      <c r="AA332" s="17">
        <f t="shared" si="206"/>
        <v>24</v>
      </c>
      <c r="AB332" s="17">
        <f t="shared" si="206"/>
        <v>24</v>
      </c>
      <c r="AC332" s="17">
        <f t="shared" si="206"/>
        <v>24</v>
      </c>
      <c r="AD332" s="17">
        <f t="shared" si="206"/>
        <v>24</v>
      </c>
      <c r="AE332" s="17">
        <f t="shared" si="206"/>
        <v>24</v>
      </c>
      <c r="AF332" s="17">
        <f t="shared" si="206"/>
        <v>24</v>
      </c>
      <c r="AG332" s="17">
        <f t="shared" si="206"/>
        <v>24</v>
      </c>
      <c r="AH332" s="17">
        <f t="shared" si="206"/>
        <v>24</v>
      </c>
      <c r="AI332" s="17">
        <f t="shared" si="206"/>
        <v>24</v>
      </c>
      <c r="AJ332" s="17">
        <f t="shared" si="206"/>
        <v>24</v>
      </c>
      <c r="AK332" s="17">
        <f t="shared" si="206"/>
        <v>24</v>
      </c>
      <c r="AL332" s="17">
        <f t="shared" si="206"/>
        <v>24</v>
      </c>
      <c r="AM332" s="17">
        <f t="shared" si="206"/>
        <v>24</v>
      </c>
    </row>
    <row r="333" spans="2:39" x14ac:dyDescent="0.2">
      <c r="B333" s="34">
        <v>-2</v>
      </c>
      <c r="C333" s="51" t="s">
        <v>166</v>
      </c>
      <c r="F333" s="48" t="s">
        <v>162</v>
      </c>
      <c r="G333" s="50" t="s">
        <v>183</v>
      </c>
      <c r="J333" s="51">
        <f>J332-J331</f>
        <v>3</v>
      </c>
      <c r="K333" s="51">
        <f t="shared" ref="K333:AM333" si="207">K332-K331</f>
        <v>4</v>
      </c>
      <c r="L333" s="51">
        <f t="shared" si="207"/>
        <v>5</v>
      </c>
      <c r="M333" s="51">
        <f t="shared" si="207"/>
        <v>6</v>
      </c>
      <c r="N333" s="51">
        <f t="shared" si="207"/>
        <v>6</v>
      </c>
      <c r="O333" s="51">
        <f t="shared" si="207"/>
        <v>6</v>
      </c>
      <c r="P333" s="51">
        <f t="shared" si="207"/>
        <v>6</v>
      </c>
      <c r="Q333" s="51">
        <f t="shared" si="207"/>
        <v>6</v>
      </c>
      <c r="R333" s="51">
        <f t="shared" si="207"/>
        <v>6</v>
      </c>
      <c r="S333" s="51">
        <f t="shared" si="207"/>
        <v>6</v>
      </c>
      <c r="T333" s="51">
        <f t="shared" si="207"/>
        <v>6</v>
      </c>
      <c r="U333" s="51">
        <f t="shared" si="207"/>
        <v>6</v>
      </c>
      <c r="V333" s="51">
        <f t="shared" si="207"/>
        <v>6</v>
      </c>
      <c r="W333" s="51">
        <f t="shared" si="207"/>
        <v>6</v>
      </c>
      <c r="X333" s="51">
        <f t="shared" si="207"/>
        <v>6</v>
      </c>
      <c r="Y333" s="51">
        <f t="shared" si="207"/>
        <v>6</v>
      </c>
      <c r="Z333" s="51">
        <f t="shared" si="207"/>
        <v>6</v>
      </c>
      <c r="AA333" s="51">
        <f t="shared" si="207"/>
        <v>6</v>
      </c>
      <c r="AB333" s="51">
        <f t="shared" si="207"/>
        <v>6</v>
      </c>
      <c r="AC333" s="51">
        <f t="shared" si="207"/>
        <v>6</v>
      </c>
      <c r="AD333" s="51">
        <f t="shared" si="207"/>
        <v>6</v>
      </c>
      <c r="AE333" s="51">
        <f t="shared" si="207"/>
        <v>6</v>
      </c>
      <c r="AF333" s="51">
        <f t="shared" si="207"/>
        <v>6</v>
      </c>
      <c r="AG333" s="51">
        <f t="shared" si="207"/>
        <v>6</v>
      </c>
      <c r="AH333" s="51">
        <f t="shared" si="207"/>
        <v>6</v>
      </c>
      <c r="AI333" s="51">
        <f t="shared" si="207"/>
        <v>6</v>
      </c>
      <c r="AJ333" s="51">
        <f t="shared" si="207"/>
        <v>6</v>
      </c>
      <c r="AK333" s="51">
        <f t="shared" si="207"/>
        <v>6</v>
      </c>
      <c r="AL333" s="51">
        <f t="shared" si="207"/>
        <v>6</v>
      </c>
      <c r="AM333" s="51">
        <f t="shared" si="207"/>
        <v>6</v>
      </c>
    </row>
    <row r="334" spans="2:39" x14ac:dyDescent="0.2">
      <c r="B334" s="34">
        <v>-3</v>
      </c>
      <c r="C334" s="51" t="s">
        <v>167</v>
      </c>
      <c r="F334" s="48" t="s">
        <v>163</v>
      </c>
      <c r="G334" s="50" t="s">
        <v>183</v>
      </c>
      <c r="J334" s="59">
        <f>J333*365</f>
        <v>1095</v>
      </c>
      <c r="K334" s="59">
        <f>K333*366</f>
        <v>1464</v>
      </c>
      <c r="L334" s="59">
        <f t="shared" ref="L334:AL334" si="208">L333*365</f>
        <v>1825</v>
      </c>
      <c r="M334" s="59">
        <f t="shared" si="208"/>
        <v>2190</v>
      </c>
      <c r="N334" s="59">
        <f t="shared" si="208"/>
        <v>2190</v>
      </c>
      <c r="O334" s="59">
        <f>O333*366</f>
        <v>2196</v>
      </c>
      <c r="P334" s="59">
        <f t="shared" si="208"/>
        <v>2190</v>
      </c>
      <c r="Q334" s="59">
        <f t="shared" si="208"/>
        <v>2190</v>
      </c>
      <c r="R334" s="59">
        <f t="shared" si="208"/>
        <v>2190</v>
      </c>
      <c r="S334" s="59">
        <f>S333*366</f>
        <v>2196</v>
      </c>
      <c r="T334" s="59">
        <f t="shared" si="208"/>
        <v>2190</v>
      </c>
      <c r="U334" s="59">
        <f t="shared" si="208"/>
        <v>2190</v>
      </c>
      <c r="V334" s="59">
        <f t="shared" si="208"/>
        <v>2190</v>
      </c>
      <c r="W334" s="59">
        <f>W333*366</f>
        <v>2196</v>
      </c>
      <c r="X334" s="59">
        <f t="shared" si="208"/>
        <v>2190</v>
      </c>
      <c r="Y334" s="59">
        <f t="shared" si="208"/>
        <v>2190</v>
      </c>
      <c r="Z334" s="59">
        <f t="shared" si="208"/>
        <v>2190</v>
      </c>
      <c r="AA334" s="59">
        <f>AA333*366</f>
        <v>2196</v>
      </c>
      <c r="AB334" s="59">
        <f t="shared" si="208"/>
        <v>2190</v>
      </c>
      <c r="AC334" s="59">
        <f t="shared" si="208"/>
        <v>2190</v>
      </c>
      <c r="AD334" s="59">
        <f t="shared" si="208"/>
        <v>2190</v>
      </c>
      <c r="AE334" s="59">
        <f>AE333*366</f>
        <v>2196</v>
      </c>
      <c r="AF334" s="59">
        <f t="shared" si="208"/>
        <v>2190</v>
      </c>
      <c r="AG334" s="59">
        <f t="shared" si="208"/>
        <v>2190</v>
      </c>
      <c r="AH334" s="59">
        <f t="shared" si="208"/>
        <v>2190</v>
      </c>
      <c r="AI334" s="59">
        <f>AI333*366</f>
        <v>2196</v>
      </c>
      <c r="AJ334" s="59">
        <f t="shared" si="208"/>
        <v>2190</v>
      </c>
      <c r="AK334" s="59">
        <f t="shared" si="208"/>
        <v>2190</v>
      </c>
      <c r="AL334" s="59">
        <f t="shared" si="208"/>
        <v>2190</v>
      </c>
      <c r="AM334" s="59">
        <f>AM333*366</f>
        <v>2196</v>
      </c>
    </row>
    <row r="335" spans="2:39" x14ac:dyDescent="0.2">
      <c r="B335" s="34">
        <v>-4</v>
      </c>
      <c r="C335" s="51" t="s">
        <v>168</v>
      </c>
      <c r="F335" s="48" t="s">
        <v>178</v>
      </c>
      <c r="G335" s="50" t="s">
        <v>183</v>
      </c>
      <c r="J335" s="60">
        <f>D336</f>
        <v>2.5</v>
      </c>
      <c r="K335" s="60">
        <f>D337</f>
        <v>3.25</v>
      </c>
      <c r="L335" s="60">
        <f>D338</f>
        <v>4</v>
      </c>
      <c r="M335" s="60">
        <f>D339</f>
        <v>4.75</v>
      </c>
      <c r="N335" s="60">
        <f>M335</f>
        <v>4.75</v>
      </c>
      <c r="O335" s="60">
        <f t="shared" ref="O335:AM335" si="209">N335</f>
        <v>4.75</v>
      </c>
      <c r="P335" s="60">
        <f t="shared" si="209"/>
        <v>4.75</v>
      </c>
      <c r="Q335" s="60">
        <f t="shared" si="209"/>
        <v>4.75</v>
      </c>
      <c r="R335" s="60">
        <f t="shared" si="209"/>
        <v>4.75</v>
      </c>
      <c r="S335" s="60">
        <f t="shared" si="209"/>
        <v>4.75</v>
      </c>
      <c r="T335" s="60">
        <f t="shared" si="209"/>
        <v>4.75</v>
      </c>
      <c r="U335" s="60">
        <f t="shared" si="209"/>
        <v>4.75</v>
      </c>
      <c r="V335" s="60">
        <f t="shared" si="209"/>
        <v>4.75</v>
      </c>
      <c r="W335" s="60">
        <f t="shared" si="209"/>
        <v>4.75</v>
      </c>
      <c r="X335" s="60">
        <f t="shared" si="209"/>
        <v>4.75</v>
      </c>
      <c r="Y335" s="60">
        <f t="shared" si="209"/>
        <v>4.75</v>
      </c>
      <c r="Z335" s="60">
        <f t="shared" si="209"/>
        <v>4.75</v>
      </c>
      <c r="AA335" s="60">
        <f t="shared" si="209"/>
        <v>4.75</v>
      </c>
      <c r="AB335" s="60">
        <f t="shared" si="209"/>
        <v>4.75</v>
      </c>
      <c r="AC335" s="60">
        <f t="shared" si="209"/>
        <v>4.75</v>
      </c>
      <c r="AD335" s="60">
        <f t="shared" si="209"/>
        <v>4.75</v>
      </c>
      <c r="AE335" s="60">
        <f t="shared" si="209"/>
        <v>4.75</v>
      </c>
      <c r="AF335" s="60">
        <f t="shared" si="209"/>
        <v>4.75</v>
      </c>
      <c r="AG335" s="60">
        <f t="shared" si="209"/>
        <v>4.75</v>
      </c>
      <c r="AH335" s="60">
        <f t="shared" si="209"/>
        <v>4.75</v>
      </c>
      <c r="AI335" s="60">
        <f t="shared" si="209"/>
        <v>4.75</v>
      </c>
      <c r="AJ335" s="60">
        <f t="shared" si="209"/>
        <v>4.75</v>
      </c>
      <c r="AK335" s="60">
        <f t="shared" si="209"/>
        <v>4.75</v>
      </c>
      <c r="AL335" s="60">
        <f t="shared" si="209"/>
        <v>4.75</v>
      </c>
      <c r="AM335" s="60">
        <f t="shared" si="209"/>
        <v>4.75</v>
      </c>
    </row>
    <row r="336" spans="2:39" x14ac:dyDescent="0.2">
      <c r="B336" s="34">
        <v>-5</v>
      </c>
      <c r="C336" s="51" t="s">
        <v>169</v>
      </c>
      <c r="D336" s="33">
        <v>2.5</v>
      </c>
      <c r="F336" s="48" t="s">
        <v>164</v>
      </c>
      <c r="G336" s="50" t="s">
        <v>183</v>
      </c>
      <c r="H336" s="2" t="s">
        <v>145</v>
      </c>
      <c r="J336" s="61">
        <f>$D$340</f>
        <v>1000</v>
      </c>
      <c r="K336" s="61">
        <f t="shared" ref="K336:AM336" si="210">$D$340</f>
        <v>1000</v>
      </c>
      <c r="L336" s="61">
        <f t="shared" si="210"/>
        <v>1000</v>
      </c>
      <c r="M336" s="61">
        <f t="shared" si="210"/>
        <v>1000</v>
      </c>
      <c r="N336" s="61">
        <f t="shared" si="210"/>
        <v>1000</v>
      </c>
      <c r="O336" s="61">
        <f t="shared" si="210"/>
        <v>1000</v>
      </c>
      <c r="P336" s="61">
        <f t="shared" si="210"/>
        <v>1000</v>
      </c>
      <c r="Q336" s="61">
        <f t="shared" si="210"/>
        <v>1000</v>
      </c>
      <c r="R336" s="61">
        <f t="shared" si="210"/>
        <v>1000</v>
      </c>
      <c r="S336" s="61">
        <f t="shared" si="210"/>
        <v>1000</v>
      </c>
      <c r="T336" s="61">
        <f t="shared" si="210"/>
        <v>1000</v>
      </c>
      <c r="U336" s="61">
        <f t="shared" si="210"/>
        <v>1000</v>
      </c>
      <c r="V336" s="61">
        <f t="shared" si="210"/>
        <v>1000</v>
      </c>
      <c r="W336" s="61">
        <f t="shared" si="210"/>
        <v>1000</v>
      </c>
      <c r="X336" s="61">
        <f t="shared" si="210"/>
        <v>1000</v>
      </c>
      <c r="Y336" s="61">
        <f t="shared" si="210"/>
        <v>1000</v>
      </c>
      <c r="Z336" s="61">
        <f t="shared" si="210"/>
        <v>1000</v>
      </c>
      <c r="AA336" s="61">
        <f t="shared" si="210"/>
        <v>1000</v>
      </c>
      <c r="AB336" s="61">
        <f t="shared" si="210"/>
        <v>1000</v>
      </c>
      <c r="AC336" s="61">
        <f t="shared" si="210"/>
        <v>1000</v>
      </c>
      <c r="AD336" s="61">
        <f t="shared" si="210"/>
        <v>1000</v>
      </c>
      <c r="AE336" s="61">
        <f t="shared" si="210"/>
        <v>1000</v>
      </c>
      <c r="AF336" s="61">
        <f t="shared" si="210"/>
        <v>1000</v>
      </c>
      <c r="AG336" s="61">
        <f t="shared" si="210"/>
        <v>1000</v>
      </c>
      <c r="AH336" s="61">
        <f t="shared" si="210"/>
        <v>1000</v>
      </c>
      <c r="AI336" s="61">
        <f t="shared" si="210"/>
        <v>1000</v>
      </c>
      <c r="AJ336" s="61">
        <f t="shared" si="210"/>
        <v>1000</v>
      </c>
      <c r="AK336" s="61">
        <f t="shared" si="210"/>
        <v>1000</v>
      </c>
      <c r="AL336" s="61">
        <f t="shared" si="210"/>
        <v>1000</v>
      </c>
      <c r="AM336" s="61">
        <f t="shared" si="210"/>
        <v>1000</v>
      </c>
    </row>
    <row r="337" spans="2:39" x14ac:dyDescent="0.2">
      <c r="B337" s="34">
        <v>-6</v>
      </c>
      <c r="C337" s="51" t="s">
        <v>170</v>
      </c>
      <c r="D337" s="33">
        <v>3.25</v>
      </c>
      <c r="F337" s="48" t="s">
        <v>177</v>
      </c>
      <c r="G337" s="50" t="s">
        <v>183</v>
      </c>
      <c r="H337" s="32">
        <f>SUM(J337:AM337)</f>
        <v>50406500</v>
      </c>
      <c r="J337" s="61">
        <f>J335*J336*365</f>
        <v>912500</v>
      </c>
      <c r="K337" s="61">
        <f>K335*K336*366</f>
        <v>1189500</v>
      </c>
      <c r="L337" s="61">
        <f t="shared" ref="L337" si="211">L335*L336*365</f>
        <v>1460000</v>
      </c>
      <c r="M337" s="61">
        <f t="shared" ref="M337" si="212">M335*M336*365</f>
        <v>1733750</v>
      </c>
      <c r="N337" s="61">
        <f t="shared" ref="N337" si="213">N335*N336*365</f>
        <v>1733750</v>
      </c>
      <c r="O337" s="61">
        <f>O335*O336*366</f>
        <v>1738500</v>
      </c>
      <c r="P337" s="61">
        <f t="shared" ref="P337" si="214">P335*P336*365</f>
        <v>1733750</v>
      </c>
      <c r="Q337" s="61">
        <f t="shared" ref="Q337" si="215">Q335*Q336*365</f>
        <v>1733750</v>
      </c>
      <c r="R337" s="61">
        <f t="shared" ref="R337" si="216">R335*R336*365</f>
        <v>1733750</v>
      </c>
      <c r="S337" s="61">
        <f>S335*S336*366</f>
        <v>1738500</v>
      </c>
      <c r="T337" s="61">
        <f t="shared" ref="T337" si="217">T335*T336*365</f>
        <v>1733750</v>
      </c>
      <c r="U337" s="61">
        <f t="shared" ref="U337" si="218">U335*U336*365</f>
        <v>1733750</v>
      </c>
      <c r="V337" s="61">
        <f t="shared" ref="V337" si="219">V335*V336*365</f>
        <v>1733750</v>
      </c>
      <c r="W337" s="61">
        <f>W335*W336*366</f>
        <v>1738500</v>
      </c>
      <c r="X337" s="61">
        <f t="shared" ref="X337" si="220">X335*X336*365</f>
        <v>1733750</v>
      </c>
      <c r="Y337" s="61">
        <f t="shared" ref="Y337" si="221">Y335*Y336*365</f>
        <v>1733750</v>
      </c>
      <c r="Z337" s="61">
        <f t="shared" ref="Z337" si="222">Z335*Z336*365</f>
        <v>1733750</v>
      </c>
      <c r="AA337" s="61">
        <f>AA335*AA336*366</f>
        <v>1738500</v>
      </c>
      <c r="AB337" s="61">
        <f t="shared" ref="AB337" si="223">AB335*AB336*365</f>
        <v>1733750</v>
      </c>
      <c r="AC337" s="61">
        <f t="shared" ref="AC337" si="224">AC335*AC336*365</f>
        <v>1733750</v>
      </c>
      <c r="AD337" s="61">
        <f t="shared" ref="AD337" si="225">AD335*AD336*365</f>
        <v>1733750</v>
      </c>
      <c r="AE337" s="61">
        <f>AE335*AE336*366</f>
        <v>1738500</v>
      </c>
      <c r="AF337" s="61">
        <f t="shared" ref="AF337" si="226">AF335*AF336*365</f>
        <v>1733750</v>
      </c>
      <c r="AG337" s="61">
        <f t="shared" ref="AG337" si="227">AG335*AG336*365</f>
        <v>1733750</v>
      </c>
      <c r="AH337" s="61">
        <f t="shared" ref="AH337" si="228">AH335*AH336*365</f>
        <v>1733750</v>
      </c>
      <c r="AI337" s="61">
        <f>AI335*AI336*366</f>
        <v>1738500</v>
      </c>
      <c r="AJ337" s="61">
        <f t="shared" ref="AJ337" si="229">AJ335*AJ336*365</f>
        <v>1733750</v>
      </c>
      <c r="AK337" s="61">
        <f t="shared" ref="AK337" si="230">AK335*AK336*365</f>
        <v>1733750</v>
      </c>
      <c r="AL337" s="61">
        <f t="shared" ref="AL337" si="231">AL335*AL336*365</f>
        <v>1733750</v>
      </c>
      <c r="AM337" s="61">
        <f>AM335*AM336*366</f>
        <v>1738500</v>
      </c>
    </row>
    <row r="338" spans="2:39" x14ac:dyDescent="0.2">
      <c r="B338" s="34">
        <v>-7</v>
      </c>
      <c r="C338" s="51" t="s">
        <v>171</v>
      </c>
      <c r="D338" s="33">
        <v>4</v>
      </c>
      <c r="H338" s="32">
        <f>SUM(J338:AM338)</f>
        <v>21463303.924098827</v>
      </c>
      <c r="I338" s="182">
        <v>7.0000000000000007E-2</v>
      </c>
      <c r="J338" s="61">
        <f t="shared" ref="J338:AM338" si="232">J337/((1+Discount_1)^(J330-$J$330))</f>
        <v>912500</v>
      </c>
      <c r="K338" s="61">
        <f t="shared" si="232"/>
        <v>1111682.2429906542</v>
      </c>
      <c r="L338" s="61">
        <f t="shared" si="232"/>
        <v>1275220.543278889</v>
      </c>
      <c r="M338" s="61">
        <f t="shared" si="232"/>
        <v>1415256.4440595144</v>
      </c>
      <c r="N338" s="61">
        <f t="shared" si="232"/>
        <v>1322669.5738873968</v>
      </c>
      <c r="O338" s="61">
        <f t="shared" si="232"/>
        <v>1239526.4730323574</v>
      </c>
      <c r="P338" s="61">
        <f t="shared" si="232"/>
        <v>1155270.8305418787</v>
      </c>
      <c r="Q338" s="61">
        <f t="shared" si="232"/>
        <v>1079692.3649924099</v>
      </c>
      <c r="R338" s="61">
        <f t="shared" si="232"/>
        <v>1009058.2850396354</v>
      </c>
      <c r="S338" s="61">
        <f t="shared" si="232"/>
        <v>945628.81148254126</v>
      </c>
      <c r="T338" s="61">
        <f t="shared" si="232"/>
        <v>881350.58523856697</v>
      </c>
      <c r="U338" s="61">
        <f t="shared" si="232"/>
        <v>823692.13573697838</v>
      </c>
      <c r="V338" s="61">
        <f t="shared" si="232"/>
        <v>769805.73433362483</v>
      </c>
      <c r="W338" s="61">
        <f t="shared" si="232"/>
        <v>721415.6926542226</v>
      </c>
      <c r="X338" s="61">
        <f t="shared" si="232"/>
        <v>672378.14161378704</v>
      </c>
      <c r="Y338" s="61">
        <f t="shared" si="232"/>
        <v>628390.78655494109</v>
      </c>
      <c r="Z338" s="61">
        <f t="shared" si="232"/>
        <v>587281.10892985156</v>
      </c>
      <c r="AA338" s="61">
        <f t="shared" si="232"/>
        <v>550364.57782185555</v>
      </c>
      <c r="AB338" s="61">
        <f t="shared" si="232"/>
        <v>512954.06492257101</v>
      </c>
      <c r="AC338" s="61">
        <f t="shared" si="232"/>
        <v>479396.32235754299</v>
      </c>
      <c r="AD338" s="61">
        <f t="shared" si="232"/>
        <v>448033.94612854486</v>
      </c>
      <c r="AE338" s="61">
        <f t="shared" si="232"/>
        <v>419870.50130085112</v>
      </c>
      <c r="AF338" s="61">
        <f t="shared" si="232"/>
        <v>391330.20012974483</v>
      </c>
      <c r="AG338" s="61">
        <f t="shared" si="232"/>
        <v>365729.15899976151</v>
      </c>
      <c r="AH338" s="61">
        <f t="shared" si="232"/>
        <v>341802.95233622566</v>
      </c>
      <c r="AI338" s="61">
        <f t="shared" si="232"/>
        <v>320317.19512241351</v>
      </c>
      <c r="AJ338" s="61">
        <f t="shared" si="232"/>
        <v>298543.93600858212</v>
      </c>
      <c r="AK338" s="61">
        <f t="shared" si="232"/>
        <v>279013.02430708607</v>
      </c>
      <c r="AL338" s="61">
        <f t="shared" si="232"/>
        <v>260759.83580101506</v>
      </c>
      <c r="AM338" s="61">
        <f t="shared" si="232"/>
        <v>244368.45449538218</v>
      </c>
    </row>
    <row r="339" spans="2:39" x14ac:dyDescent="0.2">
      <c r="B339" s="34">
        <v>-9</v>
      </c>
      <c r="C339" s="51" t="s">
        <v>172</v>
      </c>
      <c r="D339" s="33">
        <v>4.75</v>
      </c>
      <c r="H339" s="32">
        <f>SUM(J339:AM339)</f>
        <v>33414733.305877414</v>
      </c>
      <c r="I339" s="182">
        <v>0.03</v>
      </c>
      <c r="J339" s="61">
        <f t="shared" ref="J339:AM339" si="233">J337/((1+Discount_2)^(J330-$J$330))</f>
        <v>912500</v>
      </c>
      <c r="K339" s="61">
        <f t="shared" si="233"/>
        <v>1154854.3689320388</v>
      </c>
      <c r="L339" s="61">
        <f t="shared" si="233"/>
        <v>1376190.0273352815</v>
      </c>
      <c r="M339" s="61">
        <f t="shared" si="233"/>
        <v>1586626.8519035403</v>
      </c>
      <c r="N339" s="61">
        <f t="shared" si="233"/>
        <v>1540414.4193238257</v>
      </c>
      <c r="O339" s="61">
        <f t="shared" si="233"/>
        <v>1499645.3716518693</v>
      </c>
      <c r="P339" s="61">
        <f t="shared" si="233"/>
        <v>1451988.3300252859</v>
      </c>
      <c r="Q339" s="61">
        <f t="shared" si="233"/>
        <v>1409697.4077915396</v>
      </c>
      <c r="R339" s="61">
        <f t="shared" si="233"/>
        <v>1368638.2599917862</v>
      </c>
      <c r="S339" s="61">
        <f t="shared" si="233"/>
        <v>1332415.4891793954</v>
      </c>
      <c r="T339" s="61">
        <f t="shared" si="233"/>
        <v>1290072.8249521973</v>
      </c>
      <c r="U339" s="61">
        <f t="shared" si="233"/>
        <v>1252497.8883031041</v>
      </c>
      <c r="V339" s="61">
        <f t="shared" si="233"/>
        <v>1216017.3672845673</v>
      </c>
      <c r="W339" s="61">
        <f t="shared" si="233"/>
        <v>1183833.9045781398</v>
      </c>
      <c r="X339" s="61">
        <f t="shared" si="233"/>
        <v>1146212.9958380312</v>
      </c>
      <c r="Y339" s="61">
        <f t="shared" si="233"/>
        <v>1112828.1512990594</v>
      </c>
      <c r="Z339" s="61">
        <f t="shared" si="233"/>
        <v>1080415.6808728732</v>
      </c>
      <c r="AA339" s="61">
        <f t="shared" si="233"/>
        <v>1051821.0911011349</v>
      </c>
      <c r="AB339" s="61">
        <f t="shared" si="233"/>
        <v>1018395.4009547302</v>
      </c>
      <c r="AC339" s="61">
        <f t="shared" si="233"/>
        <v>988733.39898517495</v>
      </c>
      <c r="AD339" s="61">
        <f t="shared" si="233"/>
        <v>959935.33882055827</v>
      </c>
      <c r="AE339" s="61">
        <f t="shared" si="233"/>
        <v>934529.41616790625</v>
      </c>
      <c r="AF339" s="61">
        <f t="shared" si="233"/>
        <v>904831.12340518262</v>
      </c>
      <c r="AG339" s="61">
        <f t="shared" si="233"/>
        <v>878476.81883998308</v>
      </c>
      <c r="AH339" s="61">
        <f t="shared" si="233"/>
        <v>852890.11537862453</v>
      </c>
      <c r="AI339" s="61">
        <f t="shared" si="233"/>
        <v>830317.2821613953</v>
      </c>
      <c r="AJ339" s="61">
        <f t="shared" si="233"/>
        <v>803930.73369650706</v>
      </c>
      <c r="AK339" s="61">
        <f t="shared" si="233"/>
        <v>780515.27543350216</v>
      </c>
      <c r="AL339" s="61">
        <f t="shared" si="233"/>
        <v>757781.82080922532</v>
      </c>
      <c r="AM339" s="61">
        <f t="shared" si="233"/>
        <v>737726.15086095629</v>
      </c>
    </row>
    <row r="340" spans="2:39" x14ac:dyDescent="0.2">
      <c r="B340" s="34">
        <v>-10</v>
      </c>
      <c r="C340" s="51" t="s">
        <v>173</v>
      </c>
      <c r="D340" s="35">
        <v>1000</v>
      </c>
      <c r="H340" s="185"/>
    </row>
    <row r="341" spans="2:39" x14ac:dyDescent="0.2">
      <c r="B341" s="34">
        <v>-11</v>
      </c>
      <c r="C341" s="51" t="s">
        <v>174</v>
      </c>
      <c r="F341" s="48" t="s">
        <v>160</v>
      </c>
      <c r="G341" s="50" t="s">
        <v>183</v>
      </c>
      <c r="J341" s="2" t="s">
        <v>182</v>
      </c>
    </row>
    <row r="342" spans="2:39" x14ac:dyDescent="0.2">
      <c r="B342" s="34">
        <v>-12</v>
      </c>
      <c r="C342" s="51" t="s">
        <v>175</v>
      </c>
      <c r="F342" s="48" t="s">
        <v>161</v>
      </c>
      <c r="G342" s="50" t="s">
        <v>183</v>
      </c>
      <c r="J342" s="15">
        <f>Start_Year</f>
        <v>2015</v>
      </c>
      <c r="K342" s="15">
        <f t="shared" ref="K342" si="234">J342+1</f>
        <v>2016</v>
      </c>
      <c r="L342" s="15">
        <f t="shared" ref="L342" si="235">K342+1</f>
        <v>2017</v>
      </c>
      <c r="M342" s="15">
        <f t="shared" ref="M342" si="236">L342+1</f>
        <v>2018</v>
      </c>
      <c r="N342" s="15">
        <f t="shared" ref="N342" si="237">M342+1</f>
        <v>2019</v>
      </c>
      <c r="O342" s="15">
        <f t="shared" ref="O342" si="238">N342+1</f>
        <v>2020</v>
      </c>
      <c r="P342" s="15">
        <f t="shared" ref="P342" si="239">O342+1</f>
        <v>2021</v>
      </c>
      <c r="Q342" s="15">
        <f t="shared" ref="Q342" si="240">P342+1</f>
        <v>2022</v>
      </c>
      <c r="R342" s="15">
        <f t="shared" ref="R342" si="241">Q342+1</f>
        <v>2023</v>
      </c>
      <c r="S342" s="15">
        <f t="shared" ref="S342" si="242">R342+1</f>
        <v>2024</v>
      </c>
      <c r="T342" s="15">
        <f t="shared" ref="T342" si="243">S342+1</f>
        <v>2025</v>
      </c>
      <c r="U342" s="15">
        <f t="shared" ref="U342" si="244">T342+1</f>
        <v>2026</v>
      </c>
      <c r="V342" s="15">
        <f t="shared" ref="V342" si="245">U342+1</f>
        <v>2027</v>
      </c>
      <c r="W342" s="15">
        <f t="shared" ref="W342" si="246">V342+1</f>
        <v>2028</v>
      </c>
      <c r="X342" s="15">
        <f t="shared" ref="X342" si="247">W342+1</f>
        <v>2029</v>
      </c>
      <c r="Y342" s="15">
        <f t="shared" ref="Y342" si="248">X342+1</f>
        <v>2030</v>
      </c>
      <c r="Z342" s="15">
        <f t="shared" ref="Z342" si="249">Y342+1</f>
        <v>2031</v>
      </c>
      <c r="AA342" s="15">
        <f t="shared" ref="AA342" si="250">Z342+1</f>
        <v>2032</v>
      </c>
      <c r="AB342" s="15">
        <f t="shared" ref="AB342" si="251">AA342+1</f>
        <v>2033</v>
      </c>
      <c r="AC342" s="15">
        <f t="shared" ref="AC342" si="252">AB342+1</f>
        <v>2034</v>
      </c>
      <c r="AD342" s="15">
        <f t="shared" ref="AD342" si="253">AC342+1</f>
        <v>2035</v>
      </c>
      <c r="AE342" s="15">
        <f t="shared" ref="AE342" si="254">AD342+1</f>
        <v>2036</v>
      </c>
      <c r="AF342" s="15">
        <f t="shared" ref="AF342" si="255">AE342+1</f>
        <v>2037</v>
      </c>
      <c r="AG342" s="15">
        <f t="shared" ref="AG342" si="256">AF342+1</f>
        <v>2038</v>
      </c>
      <c r="AH342" s="15">
        <f t="shared" ref="AH342" si="257">AG342+1</f>
        <v>2039</v>
      </c>
      <c r="AI342" s="15">
        <f t="shared" ref="AI342" si="258">AH342+1</f>
        <v>2040</v>
      </c>
      <c r="AJ342" s="15">
        <f t="shared" ref="AJ342" si="259">AI342+1</f>
        <v>2041</v>
      </c>
      <c r="AK342" s="15">
        <f t="shared" ref="AK342" si="260">AJ342+1</f>
        <v>2042</v>
      </c>
      <c r="AL342" s="15">
        <f t="shared" ref="AL342" si="261">AK342+1</f>
        <v>2043</v>
      </c>
      <c r="AM342" s="15">
        <f t="shared" ref="AM342" si="262">AL342+1</f>
        <v>2044</v>
      </c>
    </row>
    <row r="343" spans="2:39" x14ac:dyDescent="0.2">
      <c r="F343" s="48" t="s">
        <v>162</v>
      </c>
      <c r="G343" s="50" t="s">
        <v>183</v>
      </c>
      <c r="J343" s="17">
        <v>18</v>
      </c>
      <c r="K343" s="17">
        <v>40</v>
      </c>
      <c r="L343" s="17">
        <v>40</v>
      </c>
      <c r="M343" s="17">
        <v>40</v>
      </c>
      <c r="N343" s="17">
        <v>40</v>
      </c>
      <c r="O343" s="17">
        <v>40</v>
      </c>
      <c r="P343" s="17">
        <v>40</v>
      </c>
      <c r="Q343" s="17">
        <v>40</v>
      </c>
      <c r="R343" s="17">
        <v>40</v>
      </c>
      <c r="S343" s="17">
        <v>40</v>
      </c>
      <c r="T343" s="17">
        <v>40</v>
      </c>
      <c r="U343" s="17">
        <v>40</v>
      </c>
      <c r="V343" s="17">
        <v>40</v>
      </c>
      <c r="W343" s="17">
        <v>40</v>
      </c>
      <c r="X343" s="17">
        <v>40</v>
      </c>
      <c r="Y343" s="17">
        <v>40</v>
      </c>
      <c r="Z343" s="17">
        <v>40</v>
      </c>
      <c r="AA343" s="17">
        <v>40</v>
      </c>
      <c r="AB343" s="17">
        <v>40</v>
      </c>
      <c r="AC343" s="17">
        <v>40</v>
      </c>
      <c r="AD343" s="17">
        <v>40</v>
      </c>
      <c r="AE343" s="17">
        <v>40</v>
      </c>
      <c r="AF343" s="17">
        <v>40</v>
      </c>
      <c r="AG343" s="17">
        <v>40</v>
      </c>
      <c r="AH343" s="17">
        <v>40</v>
      </c>
      <c r="AI343" s="17">
        <v>40</v>
      </c>
      <c r="AJ343" s="17">
        <v>40</v>
      </c>
      <c r="AK343" s="17">
        <v>40</v>
      </c>
      <c r="AL343" s="17">
        <v>40</v>
      </c>
      <c r="AM343" s="17">
        <v>40</v>
      </c>
    </row>
    <row r="344" spans="2:39" x14ac:dyDescent="0.2">
      <c r="F344" s="48" t="s">
        <v>163</v>
      </c>
      <c r="G344" s="50" t="s">
        <v>183</v>
      </c>
      <c r="J344" s="17">
        <v>21</v>
      </c>
      <c r="K344" s="17">
        <f>J344+1</f>
        <v>22</v>
      </c>
      <c r="L344" s="17">
        <f t="shared" ref="L344:AC344" si="263">K344+1</f>
        <v>23</v>
      </c>
      <c r="M344" s="17">
        <f t="shared" si="263"/>
        <v>24</v>
      </c>
      <c r="N344" s="17">
        <f t="shared" si="263"/>
        <v>25</v>
      </c>
      <c r="O344" s="17">
        <f t="shared" si="263"/>
        <v>26</v>
      </c>
      <c r="P344" s="17">
        <f t="shared" si="263"/>
        <v>27</v>
      </c>
      <c r="Q344" s="17">
        <f t="shared" si="263"/>
        <v>28</v>
      </c>
      <c r="R344" s="17">
        <f t="shared" si="263"/>
        <v>29</v>
      </c>
      <c r="S344" s="17">
        <f t="shared" si="263"/>
        <v>30</v>
      </c>
      <c r="T344" s="17">
        <f t="shared" si="263"/>
        <v>31</v>
      </c>
      <c r="U344" s="17">
        <f t="shared" si="263"/>
        <v>32</v>
      </c>
      <c r="V344" s="17">
        <f t="shared" si="263"/>
        <v>33</v>
      </c>
      <c r="W344" s="17">
        <f t="shared" si="263"/>
        <v>34</v>
      </c>
      <c r="X344" s="17">
        <f t="shared" si="263"/>
        <v>35</v>
      </c>
      <c r="Y344" s="17">
        <f t="shared" si="263"/>
        <v>36</v>
      </c>
      <c r="Z344" s="17">
        <f t="shared" si="263"/>
        <v>37</v>
      </c>
      <c r="AA344" s="17">
        <f t="shared" si="263"/>
        <v>38</v>
      </c>
      <c r="AB344" s="17">
        <f t="shared" si="263"/>
        <v>39</v>
      </c>
      <c r="AC344" s="17">
        <f t="shared" si="263"/>
        <v>40</v>
      </c>
      <c r="AD344" s="17">
        <v>40</v>
      </c>
      <c r="AE344" s="17">
        <v>40</v>
      </c>
      <c r="AF344" s="17">
        <v>40</v>
      </c>
      <c r="AG344" s="17">
        <v>40</v>
      </c>
      <c r="AH344" s="17">
        <v>40</v>
      </c>
      <c r="AI344" s="17">
        <v>40</v>
      </c>
      <c r="AJ344" s="17">
        <v>40</v>
      </c>
      <c r="AK344" s="17">
        <v>40</v>
      </c>
      <c r="AL344" s="17">
        <v>40</v>
      </c>
      <c r="AM344" s="17">
        <v>40</v>
      </c>
    </row>
    <row r="345" spans="2:39" x14ac:dyDescent="0.2">
      <c r="F345" s="48" t="s">
        <v>178</v>
      </c>
      <c r="G345" s="50" t="s">
        <v>183</v>
      </c>
      <c r="J345" s="51">
        <f>IF(J344-J343&lt;0,0,J344-J343)</f>
        <v>3</v>
      </c>
      <c r="K345" s="51">
        <f t="shared" ref="K345:AM345" si="264">IF(K344-K343&lt;0,0,K344-K343)</f>
        <v>0</v>
      </c>
      <c r="L345" s="51">
        <f t="shared" si="264"/>
        <v>0</v>
      </c>
      <c r="M345" s="51">
        <f t="shared" si="264"/>
        <v>0</v>
      </c>
      <c r="N345" s="51">
        <f t="shared" si="264"/>
        <v>0</v>
      </c>
      <c r="O345" s="51">
        <f t="shared" si="264"/>
        <v>0</v>
      </c>
      <c r="P345" s="51">
        <f t="shared" si="264"/>
        <v>0</v>
      </c>
      <c r="Q345" s="51">
        <f t="shared" si="264"/>
        <v>0</v>
      </c>
      <c r="R345" s="51">
        <f t="shared" si="264"/>
        <v>0</v>
      </c>
      <c r="S345" s="51">
        <f t="shared" si="264"/>
        <v>0</v>
      </c>
      <c r="T345" s="51">
        <f t="shared" si="264"/>
        <v>0</v>
      </c>
      <c r="U345" s="51">
        <f t="shared" si="264"/>
        <v>0</v>
      </c>
      <c r="V345" s="51">
        <f t="shared" si="264"/>
        <v>0</v>
      </c>
      <c r="W345" s="51">
        <f t="shared" si="264"/>
        <v>0</v>
      </c>
      <c r="X345" s="51">
        <f t="shared" si="264"/>
        <v>0</v>
      </c>
      <c r="Y345" s="51">
        <f t="shared" si="264"/>
        <v>0</v>
      </c>
      <c r="Z345" s="51">
        <f t="shared" si="264"/>
        <v>0</v>
      </c>
      <c r="AA345" s="51">
        <f t="shared" si="264"/>
        <v>0</v>
      </c>
      <c r="AB345" s="51">
        <f t="shared" si="264"/>
        <v>0</v>
      </c>
      <c r="AC345" s="51">
        <f t="shared" si="264"/>
        <v>0</v>
      </c>
      <c r="AD345" s="51">
        <f t="shared" si="264"/>
        <v>0</v>
      </c>
      <c r="AE345" s="51">
        <f t="shared" si="264"/>
        <v>0</v>
      </c>
      <c r="AF345" s="51">
        <f t="shared" si="264"/>
        <v>0</v>
      </c>
      <c r="AG345" s="51">
        <f t="shared" si="264"/>
        <v>0</v>
      </c>
      <c r="AH345" s="51">
        <f t="shared" si="264"/>
        <v>0</v>
      </c>
      <c r="AI345" s="51">
        <f t="shared" si="264"/>
        <v>0</v>
      </c>
      <c r="AJ345" s="51">
        <f t="shared" si="264"/>
        <v>0</v>
      </c>
      <c r="AK345" s="51">
        <f t="shared" si="264"/>
        <v>0</v>
      </c>
      <c r="AL345" s="51">
        <f t="shared" si="264"/>
        <v>0</v>
      </c>
      <c r="AM345" s="51">
        <f t="shared" si="264"/>
        <v>0</v>
      </c>
    </row>
    <row r="346" spans="2:39" x14ac:dyDescent="0.2">
      <c r="F346" s="48" t="s">
        <v>164</v>
      </c>
      <c r="G346" s="50" t="s">
        <v>183</v>
      </c>
      <c r="J346" s="59">
        <f>J345*365</f>
        <v>1095</v>
      </c>
      <c r="K346" s="59">
        <f>K345*365</f>
        <v>0</v>
      </c>
      <c r="L346" s="59">
        <f t="shared" ref="L346:AM346" si="265">L345*365</f>
        <v>0</v>
      </c>
      <c r="M346" s="59">
        <f t="shared" si="265"/>
        <v>0</v>
      </c>
      <c r="N346" s="59">
        <f t="shared" si="265"/>
        <v>0</v>
      </c>
      <c r="O346" s="59">
        <f t="shared" si="265"/>
        <v>0</v>
      </c>
      <c r="P346" s="59">
        <f t="shared" si="265"/>
        <v>0</v>
      </c>
      <c r="Q346" s="59">
        <f t="shared" si="265"/>
        <v>0</v>
      </c>
      <c r="R346" s="59">
        <f t="shared" si="265"/>
        <v>0</v>
      </c>
      <c r="S346" s="59">
        <f t="shared" si="265"/>
        <v>0</v>
      </c>
      <c r="T346" s="59">
        <f t="shared" si="265"/>
        <v>0</v>
      </c>
      <c r="U346" s="59">
        <f t="shared" si="265"/>
        <v>0</v>
      </c>
      <c r="V346" s="59">
        <f t="shared" si="265"/>
        <v>0</v>
      </c>
      <c r="W346" s="59">
        <f t="shared" si="265"/>
        <v>0</v>
      </c>
      <c r="X346" s="59">
        <f t="shared" si="265"/>
        <v>0</v>
      </c>
      <c r="Y346" s="59">
        <f t="shared" si="265"/>
        <v>0</v>
      </c>
      <c r="Z346" s="59">
        <f t="shared" si="265"/>
        <v>0</v>
      </c>
      <c r="AA346" s="59">
        <f t="shared" si="265"/>
        <v>0</v>
      </c>
      <c r="AB346" s="59">
        <f t="shared" si="265"/>
        <v>0</v>
      </c>
      <c r="AC346" s="59">
        <f t="shared" si="265"/>
        <v>0</v>
      </c>
      <c r="AD346" s="59">
        <f t="shared" si="265"/>
        <v>0</v>
      </c>
      <c r="AE346" s="59">
        <f t="shared" si="265"/>
        <v>0</v>
      </c>
      <c r="AF346" s="59">
        <f t="shared" si="265"/>
        <v>0</v>
      </c>
      <c r="AG346" s="59">
        <f t="shared" si="265"/>
        <v>0</v>
      </c>
      <c r="AH346" s="59">
        <f t="shared" si="265"/>
        <v>0</v>
      </c>
      <c r="AI346" s="59">
        <f t="shared" si="265"/>
        <v>0</v>
      </c>
      <c r="AJ346" s="59">
        <f t="shared" si="265"/>
        <v>0</v>
      </c>
      <c r="AK346" s="59">
        <f t="shared" si="265"/>
        <v>0</v>
      </c>
      <c r="AL346" s="59">
        <f t="shared" si="265"/>
        <v>0</v>
      </c>
      <c r="AM346" s="59">
        <f t="shared" si="265"/>
        <v>0</v>
      </c>
    </row>
    <row r="347" spans="2:39" x14ac:dyDescent="0.2">
      <c r="F347" s="48" t="s">
        <v>177</v>
      </c>
      <c r="G347" s="50" t="s">
        <v>183</v>
      </c>
      <c r="J347" s="60">
        <f>D336</f>
        <v>2.5</v>
      </c>
      <c r="K347" s="60">
        <v>0</v>
      </c>
      <c r="L347" s="60">
        <v>0</v>
      </c>
      <c r="M347" s="60">
        <v>0</v>
      </c>
      <c r="N347" s="60">
        <v>0</v>
      </c>
      <c r="O347" s="60">
        <v>0</v>
      </c>
      <c r="P347" s="60">
        <v>0</v>
      </c>
      <c r="Q347" s="60">
        <v>0</v>
      </c>
      <c r="R347" s="60">
        <v>0</v>
      </c>
      <c r="S347" s="60">
        <v>0</v>
      </c>
      <c r="T347" s="60">
        <v>0</v>
      </c>
      <c r="U347" s="60">
        <v>0</v>
      </c>
      <c r="V347" s="60">
        <v>0</v>
      </c>
      <c r="W347" s="60">
        <v>0</v>
      </c>
      <c r="X347" s="60">
        <v>0</v>
      </c>
      <c r="Y347" s="60">
        <v>0</v>
      </c>
      <c r="Z347" s="60">
        <v>0</v>
      </c>
      <c r="AA347" s="60">
        <v>0</v>
      </c>
      <c r="AB347" s="60">
        <v>0</v>
      </c>
      <c r="AC347" s="60">
        <v>0</v>
      </c>
      <c r="AD347" s="60">
        <v>0</v>
      </c>
      <c r="AE347" s="60">
        <v>0</v>
      </c>
      <c r="AF347" s="60">
        <v>0</v>
      </c>
      <c r="AG347" s="60">
        <v>0</v>
      </c>
      <c r="AH347" s="60">
        <v>0</v>
      </c>
      <c r="AI347" s="60">
        <v>0</v>
      </c>
      <c r="AJ347" s="60">
        <v>0</v>
      </c>
      <c r="AK347" s="60">
        <v>0</v>
      </c>
      <c r="AL347" s="60">
        <v>0</v>
      </c>
      <c r="AM347" s="60">
        <v>0</v>
      </c>
    </row>
    <row r="348" spans="2:39" x14ac:dyDescent="0.2">
      <c r="H348" s="2" t="s">
        <v>145</v>
      </c>
      <c r="J348" s="61">
        <f>$D$340</f>
        <v>1000</v>
      </c>
      <c r="K348" s="61">
        <f t="shared" ref="K348:AM348" si="266">$D$340</f>
        <v>1000</v>
      </c>
      <c r="L348" s="61">
        <f t="shared" si="266"/>
        <v>1000</v>
      </c>
      <c r="M348" s="61">
        <f t="shared" si="266"/>
        <v>1000</v>
      </c>
      <c r="N348" s="61">
        <f t="shared" si="266"/>
        <v>1000</v>
      </c>
      <c r="O348" s="61">
        <f t="shared" si="266"/>
        <v>1000</v>
      </c>
      <c r="P348" s="61">
        <f t="shared" si="266"/>
        <v>1000</v>
      </c>
      <c r="Q348" s="61">
        <f t="shared" si="266"/>
        <v>1000</v>
      </c>
      <c r="R348" s="61">
        <f t="shared" si="266"/>
        <v>1000</v>
      </c>
      <c r="S348" s="61">
        <f t="shared" si="266"/>
        <v>1000</v>
      </c>
      <c r="T348" s="61">
        <f t="shared" si="266"/>
        <v>1000</v>
      </c>
      <c r="U348" s="61">
        <f t="shared" si="266"/>
        <v>1000</v>
      </c>
      <c r="V348" s="61">
        <f t="shared" si="266"/>
        <v>1000</v>
      </c>
      <c r="W348" s="61">
        <f t="shared" si="266"/>
        <v>1000</v>
      </c>
      <c r="X348" s="61">
        <f t="shared" si="266"/>
        <v>1000</v>
      </c>
      <c r="Y348" s="61">
        <f t="shared" si="266"/>
        <v>1000</v>
      </c>
      <c r="Z348" s="61">
        <f t="shared" si="266"/>
        <v>1000</v>
      </c>
      <c r="AA348" s="61">
        <f t="shared" si="266"/>
        <v>1000</v>
      </c>
      <c r="AB348" s="61">
        <f t="shared" si="266"/>
        <v>1000</v>
      </c>
      <c r="AC348" s="61">
        <f t="shared" si="266"/>
        <v>1000</v>
      </c>
      <c r="AD348" s="61">
        <f t="shared" si="266"/>
        <v>1000</v>
      </c>
      <c r="AE348" s="61">
        <f t="shared" si="266"/>
        <v>1000</v>
      </c>
      <c r="AF348" s="61">
        <f t="shared" si="266"/>
        <v>1000</v>
      </c>
      <c r="AG348" s="61">
        <f t="shared" si="266"/>
        <v>1000</v>
      </c>
      <c r="AH348" s="61">
        <f t="shared" si="266"/>
        <v>1000</v>
      </c>
      <c r="AI348" s="61">
        <f t="shared" si="266"/>
        <v>1000</v>
      </c>
      <c r="AJ348" s="61">
        <f t="shared" si="266"/>
        <v>1000</v>
      </c>
      <c r="AK348" s="61">
        <f t="shared" si="266"/>
        <v>1000</v>
      </c>
      <c r="AL348" s="61">
        <f t="shared" si="266"/>
        <v>1000</v>
      </c>
      <c r="AM348" s="61">
        <f t="shared" si="266"/>
        <v>1000</v>
      </c>
    </row>
    <row r="349" spans="2:39" x14ac:dyDescent="0.2">
      <c r="H349" s="32">
        <f>SUM(J349:AM349)</f>
        <v>912500</v>
      </c>
      <c r="J349" s="61">
        <f>J348*J347*365</f>
        <v>912500</v>
      </c>
      <c r="K349" s="61">
        <f t="shared" ref="K349:AM349" si="267">K348*K347*365</f>
        <v>0</v>
      </c>
      <c r="L349" s="61">
        <f t="shared" si="267"/>
        <v>0</v>
      </c>
      <c r="M349" s="61">
        <f t="shared" si="267"/>
        <v>0</v>
      </c>
      <c r="N349" s="61">
        <f t="shared" si="267"/>
        <v>0</v>
      </c>
      <c r="O349" s="61">
        <f t="shared" si="267"/>
        <v>0</v>
      </c>
      <c r="P349" s="61">
        <f t="shared" si="267"/>
        <v>0</v>
      </c>
      <c r="Q349" s="61">
        <f t="shared" si="267"/>
        <v>0</v>
      </c>
      <c r="R349" s="61">
        <f t="shared" si="267"/>
        <v>0</v>
      </c>
      <c r="S349" s="61">
        <f t="shared" si="267"/>
        <v>0</v>
      </c>
      <c r="T349" s="61">
        <f t="shared" si="267"/>
        <v>0</v>
      </c>
      <c r="U349" s="61">
        <f t="shared" si="267"/>
        <v>0</v>
      </c>
      <c r="V349" s="61">
        <f t="shared" si="267"/>
        <v>0</v>
      </c>
      <c r="W349" s="61">
        <f t="shared" si="267"/>
        <v>0</v>
      </c>
      <c r="X349" s="61">
        <f t="shared" si="267"/>
        <v>0</v>
      </c>
      <c r="Y349" s="61">
        <f t="shared" si="267"/>
        <v>0</v>
      </c>
      <c r="Z349" s="61">
        <f t="shared" si="267"/>
        <v>0</v>
      </c>
      <c r="AA349" s="61">
        <f t="shared" si="267"/>
        <v>0</v>
      </c>
      <c r="AB349" s="61">
        <f t="shared" si="267"/>
        <v>0</v>
      </c>
      <c r="AC349" s="61">
        <f t="shared" si="267"/>
        <v>0</v>
      </c>
      <c r="AD349" s="61">
        <f t="shared" si="267"/>
        <v>0</v>
      </c>
      <c r="AE349" s="61">
        <f t="shared" si="267"/>
        <v>0</v>
      </c>
      <c r="AF349" s="61">
        <f t="shared" si="267"/>
        <v>0</v>
      </c>
      <c r="AG349" s="61">
        <f t="shared" si="267"/>
        <v>0</v>
      </c>
      <c r="AH349" s="61">
        <f t="shared" si="267"/>
        <v>0</v>
      </c>
      <c r="AI349" s="61">
        <f t="shared" si="267"/>
        <v>0</v>
      </c>
      <c r="AJ349" s="61">
        <f t="shared" si="267"/>
        <v>0</v>
      </c>
      <c r="AK349" s="61">
        <f t="shared" si="267"/>
        <v>0</v>
      </c>
      <c r="AL349" s="61">
        <f t="shared" si="267"/>
        <v>0</v>
      </c>
      <c r="AM349" s="61">
        <f t="shared" si="267"/>
        <v>0</v>
      </c>
    </row>
    <row r="350" spans="2:39" x14ac:dyDescent="0.2">
      <c r="H350" s="32">
        <f t="shared" ref="H350:H351" si="268">SUM(J350:AM350)</f>
        <v>912500</v>
      </c>
      <c r="J350" s="61">
        <f t="shared" ref="J350:AM350" si="269">J349/((1+Discount_1)^(J342-$J$342))</f>
        <v>912500</v>
      </c>
      <c r="K350" s="61">
        <f t="shared" si="269"/>
        <v>0</v>
      </c>
      <c r="L350" s="61">
        <f t="shared" si="269"/>
        <v>0</v>
      </c>
      <c r="M350" s="61">
        <f t="shared" si="269"/>
        <v>0</v>
      </c>
      <c r="N350" s="61">
        <f t="shared" si="269"/>
        <v>0</v>
      </c>
      <c r="O350" s="61">
        <f t="shared" si="269"/>
        <v>0</v>
      </c>
      <c r="P350" s="61">
        <f t="shared" si="269"/>
        <v>0</v>
      </c>
      <c r="Q350" s="61">
        <f t="shared" si="269"/>
        <v>0</v>
      </c>
      <c r="R350" s="61">
        <f t="shared" si="269"/>
        <v>0</v>
      </c>
      <c r="S350" s="61">
        <f t="shared" si="269"/>
        <v>0</v>
      </c>
      <c r="T350" s="61">
        <f t="shared" si="269"/>
        <v>0</v>
      </c>
      <c r="U350" s="61">
        <f t="shared" si="269"/>
        <v>0</v>
      </c>
      <c r="V350" s="61">
        <f t="shared" si="269"/>
        <v>0</v>
      </c>
      <c r="W350" s="61">
        <f t="shared" si="269"/>
        <v>0</v>
      </c>
      <c r="X350" s="61">
        <f t="shared" si="269"/>
        <v>0</v>
      </c>
      <c r="Y350" s="61">
        <f t="shared" si="269"/>
        <v>0</v>
      </c>
      <c r="Z350" s="61">
        <f t="shared" si="269"/>
        <v>0</v>
      </c>
      <c r="AA350" s="61">
        <f t="shared" si="269"/>
        <v>0</v>
      </c>
      <c r="AB350" s="61">
        <f t="shared" si="269"/>
        <v>0</v>
      </c>
      <c r="AC350" s="61">
        <f t="shared" si="269"/>
        <v>0</v>
      </c>
      <c r="AD350" s="61">
        <f t="shared" si="269"/>
        <v>0</v>
      </c>
      <c r="AE350" s="61">
        <f t="shared" si="269"/>
        <v>0</v>
      </c>
      <c r="AF350" s="61">
        <f t="shared" si="269"/>
        <v>0</v>
      </c>
      <c r="AG350" s="61">
        <f t="shared" si="269"/>
        <v>0</v>
      </c>
      <c r="AH350" s="61">
        <f t="shared" si="269"/>
        <v>0</v>
      </c>
      <c r="AI350" s="61">
        <f t="shared" si="269"/>
        <v>0</v>
      </c>
      <c r="AJ350" s="61">
        <f t="shared" si="269"/>
        <v>0</v>
      </c>
      <c r="AK350" s="61">
        <f t="shared" si="269"/>
        <v>0</v>
      </c>
      <c r="AL350" s="61">
        <f t="shared" si="269"/>
        <v>0</v>
      </c>
      <c r="AM350" s="61">
        <f t="shared" si="269"/>
        <v>0</v>
      </c>
    </row>
    <row r="351" spans="2:39" x14ac:dyDescent="0.2">
      <c r="H351" s="32">
        <f t="shared" si="268"/>
        <v>912500</v>
      </c>
      <c r="J351" s="61">
        <f t="shared" ref="J351:AM351" si="270">J349/((1+Discount_2)^(J342-$J$342))</f>
        <v>912500</v>
      </c>
      <c r="K351" s="61">
        <f t="shared" si="270"/>
        <v>0</v>
      </c>
      <c r="L351" s="61">
        <f t="shared" si="270"/>
        <v>0</v>
      </c>
      <c r="M351" s="61">
        <f t="shared" si="270"/>
        <v>0</v>
      </c>
      <c r="N351" s="61">
        <f t="shared" si="270"/>
        <v>0</v>
      </c>
      <c r="O351" s="61">
        <f t="shared" si="270"/>
        <v>0</v>
      </c>
      <c r="P351" s="61">
        <f t="shared" si="270"/>
        <v>0</v>
      </c>
      <c r="Q351" s="61">
        <f t="shared" si="270"/>
        <v>0</v>
      </c>
      <c r="R351" s="61">
        <f t="shared" si="270"/>
        <v>0</v>
      </c>
      <c r="S351" s="61">
        <f t="shared" si="270"/>
        <v>0</v>
      </c>
      <c r="T351" s="61">
        <f t="shared" si="270"/>
        <v>0</v>
      </c>
      <c r="U351" s="61">
        <f t="shared" si="270"/>
        <v>0</v>
      </c>
      <c r="V351" s="61">
        <f t="shared" si="270"/>
        <v>0</v>
      </c>
      <c r="W351" s="61">
        <f t="shared" si="270"/>
        <v>0</v>
      </c>
      <c r="X351" s="61">
        <f t="shared" si="270"/>
        <v>0</v>
      </c>
      <c r="Y351" s="61">
        <f t="shared" si="270"/>
        <v>0</v>
      </c>
      <c r="Z351" s="61">
        <f t="shared" si="270"/>
        <v>0</v>
      </c>
      <c r="AA351" s="61">
        <f t="shared" si="270"/>
        <v>0</v>
      </c>
      <c r="AB351" s="61">
        <f t="shared" si="270"/>
        <v>0</v>
      </c>
      <c r="AC351" s="61">
        <f t="shared" si="270"/>
        <v>0</v>
      </c>
      <c r="AD351" s="61">
        <f t="shared" si="270"/>
        <v>0</v>
      </c>
      <c r="AE351" s="61">
        <f t="shared" si="270"/>
        <v>0</v>
      </c>
      <c r="AF351" s="61">
        <f t="shared" si="270"/>
        <v>0</v>
      </c>
      <c r="AG351" s="61">
        <f t="shared" si="270"/>
        <v>0</v>
      </c>
      <c r="AH351" s="61">
        <f t="shared" si="270"/>
        <v>0</v>
      </c>
      <c r="AI351" s="61">
        <f t="shared" si="270"/>
        <v>0</v>
      </c>
      <c r="AJ351" s="61">
        <f t="shared" si="270"/>
        <v>0</v>
      </c>
      <c r="AK351" s="61">
        <f t="shared" si="270"/>
        <v>0</v>
      </c>
      <c r="AL351" s="61">
        <f t="shared" si="270"/>
        <v>0</v>
      </c>
      <c r="AM351" s="61">
        <f t="shared" si="270"/>
        <v>0</v>
      </c>
    </row>
    <row r="352" spans="2:39" x14ac:dyDescent="0.2">
      <c r="K352" s="186"/>
    </row>
    <row r="353" spans="2:39" x14ac:dyDescent="0.2">
      <c r="J353" s="2" t="s">
        <v>184</v>
      </c>
    </row>
    <row r="354" spans="2:39" x14ac:dyDescent="0.2">
      <c r="H354" s="2" t="s">
        <v>145</v>
      </c>
      <c r="J354" s="15">
        <f>Start_Year</f>
        <v>2015</v>
      </c>
      <c r="K354" s="15">
        <f t="shared" ref="K354" si="271">J354+1</f>
        <v>2016</v>
      </c>
      <c r="L354" s="15">
        <f t="shared" ref="L354" si="272">K354+1</f>
        <v>2017</v>
      </c>
      <c r="M354" s="15">
        <f t="shared" ref="M354" si="273">L354+1</f>
        <v>2018</v>
      </c>
      <c r="N354" s="15">
        <f t="shared" ref="N354" si="274">M354+1</f>
        <v>2019</v>
      </c>
      <c r="O354" s="15">
        <f t="shared" ref="O354" si="275">N354+1</f>
        <v>2020</v>
      </c>
      <c r="P354" s="15">
        <f t="shared" ref="P354" si="276">O354+1</f>
        <v>2021</v>
      </c>
      <c r="Q354" s="15">
        <f t="shared" ref="Q354" si="277">P354+1</f>
        <v>2022</v>
      </c>
      <c r="R354" s="15">
        <f t="shared" ref="R354" si="278">Q354+1</f>
        <v>2023</v>
      </c>
      <c r="S354" s="15">
        <f t="shared" ref="S354" si="279">R354+1</f>
        <v>2024</v>
      </c>
      <c r="T354" s="15">
        <f t="shared" ref="T354" si="280">S354+1</f>
        <v>2025</v>
      </c>
      <c r="U354" s="15">
        <f t="shared" ref="U354" si="281">T354+1</f>
        <v>2026</v>
      </c>
      <c r="V354" s="15">
        <f t="shared" ref="V354" si="282">U354+1</f>
        <v>2027</v>
      </c>
      <c r="W354" s="15">
        <f t="shared" ref="W354" si="283">V354+1</f>
        <v>2028</v>
      </c>
      <c r="X354" s="15">
        <f t="shared" ref="X354" si="284">W354+1</f>
        <v>2029</v>
      </c>
      <c r="Y354" s="15">
        <f t="shared" ref="Y354" si="285">X354+1</f>
        <v>2030</v>
      </c>
      <c r="Z354" s="15">
        <f t="shared" ref="Z354" si="286">Y354+1</f>
        <v>2031</v>
      </c>
      <c r="AA354" s="15">
        <f t="shared" ref="AA354" si="287">Z354+1</f>
        <v>2032</v>
      </c>
      <c r="AB354" s="15">
        <f t="shared" ref="AB354" si="288">AA354+1</f>
        <v>2033</v>
      </c>
      <c r="AC354" s="15">
        <f t="shared" ref="AC354" si="289">AB354+1</f>
        <v>2034</v>
      </c>
      <c r="AD354" s="15">
        <f t="shared" ref="AD354" si="290">AC354+1</f>
        <v>2035</v>
      </c>
      <c r="AE354" s="15">
        <f t="shared" ref="AE354" si="291">AD354+1</f>
        <v>2036</v>
      </c>
      <c r="AF354" s="15">
        <f t="shared" ref="AF354" si="292">AE354+1</f>
        <v>2037</v>
      </c>
      <c r="AG354" s="15">
        <f t="shared" ref="AG354" si="293">AF354+1</f>
        <v>2038</v>
      </c>
      <c r="AH354" s="15">
        <f t="shared" ref="AH354" si="294">AG354+1</f>
        <v>2039</v>
      </c>
      <c r="AI354" s="15">
        <f t="shared" ref="AI354" si="295">AH354+1</f>
        <v>2040</v>
      </c>
      <c r="AJ354" s="15">
        <f t="shared" ref="AJ354" si="296">AI354+1</f>
        <v>2041</v>
      </c>
      <c r="AK354" s="15">
        <f t="shared" ref="AK354" si="297">AJ354+1</f>
        <v>2042</v>
      </c>
      <c r="AL354" s="15">
        <f t="shared" ref="AL354" si="298">AK354+1</f>
        <v>2043</v>
      </c>
      <c r="AM354" s="15">
        <f t="shared" ref="AM354" si="299">AL354+1</f>
        <v>2044</v>
      </c>
    </row>
    <row r="355" spans="2:39" x14ac:dyDescent="0.2">
      <c r="H355" s="32">
        <f>SUM(J355:AM355)</f>
        <v>49494000</v>
      </c>
      <c r="J355" s="61">
        <f t="shared" ref="J355:AM355" si="300">J337-J349</f>
        <v>0</v>
      </c>
      <c r="K355" s="61">
        <f t="shared" si="300"/>
        <v>1189500</v>
      </c>
      <c r="L355" s="61">
        <f t="shared" si="300"/>
        <v>1460000</v>
      </c>
      <c r="M355" s="61">
        <f t="shared" si="300"/>
        <v>1733750</v>
      </c>
      <c r="N355" s="61">
        <f t="shared" si="300"/>
        <v>1733750</v>
      </c>
      <c r="O355" s="61">
        <f t="shared" si="300"/>
        <v>1738500</v>
      </c>
      <c r="P355" s="61">
        <f t="shared" si="300"/>
        <v>1733750</v>
      </c>
      <c r="Q355" s="61">
        <f t="shared" si="300"/>
        <v>1733750</v>
      </c>
      <c r="R355" s="61">
        <f t="shared" si="300"/>
        <v>1733750</v>
      </c>
      <c r="S355" s="61">
        <f t="shared" si="300"/>
        <v>1738500</v>
      </c>
      <c r="T355" s="61">
        <f t="shared" si="300"/>
        <v>1733750</v>
      </c>
      <c r="U355" s="61">
        <f t="shared" si="300"/>
        <v>1733750</v>
      </c>
      <c r="V355" s="61">
        <f t="shared" si="300"/>
        <v>1733750</v>
      </c>
      <c r="W355" s="61">
        <f t="shared" si="300"/>
        <v>1738500</v>
      </c>
      <c r="X355" s="61">
        <f t="shared" si="300"/>
        <v>1733750</v>
      </c>
      <c r="Y355" s="61">
        <f t="shared" si="300"/>
        <v>1733750</v>
      </c>
      <c r="Z355" s="61">
        <f t="shared" si="300"/>
        <v>1733750</v>
      </c>
      <c r="AA355" s="61">
        <f t="shared" si="300"/>
        <v>1738500</v>
      </c>
      <c r="AB355" s="61">
        <f t="shared" si="300"/>
        <v>1733750</v>
      </c>
      <c r="AC355" s="61">
        <f t="shared" si="300"/>
        <v>1733750</v>
      </c>
      <c r="AD355" s="61">
        <f t="shared" si="300"/>
        <v>1733750</v>
      </c>
      <c r="AE355" s="61">
        <f t="shared" si="300"/>
        <v>1738500</v>
      </c>
      <c r="AF355" s="61">
        <f t="shared" si="300"/>
        <v>1733750</v>
      </c>
      <c r="AG355" s="61">
        <f t="shared" si="300"/>
        <v>1733750</v>
      </c>
      <c r="AH355" s="61">
        <f t="shared" si="300"/>
        <v>1733750</v>
      </c>
      <c r="AI355" s="61">
        <f t="shared" si="300"/>
        <v>1738500</v>
      </c>
      <c r="AJ355" s="61">
        <f t="shared" si="300"/>
        <v>1733750</v>
      </c>
      <c r="AK355" s="61">
        <f t="shared" si="300"/>
        <v>1733750</v>
      </c>
      <c r="AL355" s="61">
        <f t="shared" si="300"/>
        <v>1733750</v>
      </c>
      <c r="AM355" s="61">
        <f t="shared" si="300"/>
        <v>1738500</v>
      </c>
    </row>
    <row r="356" spans="2:39" x14ac:dyDescent="0.2">
      <c r="H356" s="32">
        <f t="shared" ref="H356:H357" si="301">SUM(J356:AM356)</f>
        <v>20550803.924098827</v>
      </c>
      <c r="J356" s="61">
        <f t="shared" ref="J356:AM356" si="302">J355/((1+Discount_1)^(J354-$J$354))</f>
        <v>0</v>
      </c>
      <c r="K356" s="61">
        <f t="shared" si="302"/>
        <v>1111682.2429906542</v>
      </c>
      <c r="L356" s="61">
        <f t="shared" si="302"/>
        <v>1275220.543278889</v>
      </c>
      <c r="M356" s="61">
        <f t="shared" si="302"/>
        <v>1415256.4440595144</v>
      </c>
      <c r="N356" s="61">
        <f t="shared" si="302"/>
        <v>1322669.5738873968</v>
      </c>
      <c r="O356" s="61">
        <f t="shared" si="302"/>
        <v>1239526.4730323574</v>
      </c>
      <c r="P356" s="61">
        <f t="shared" si="302"/>
        <v>1155270.8305418787</v>
      </c>
      <c r="Q356" s="61">
        <f t="shared" si="302"/>
        <v>1079692.3649924099</v>
      </c>
      <c r="R356" s="61">
        <f t="shared" si="302"/>
        <v>1009058.2850396354</v>
      </c>
      <c r="S356" s="61">
        <f t="shared" si="302"/>
        <v>945628.81148254126</v>
      </c>
      <c r="T356" s="61">
        <f t="shared" si="302"/>
        <v>881350.58523856697</v>
      </c>
      <c r="U356" s="61">
        <f t="shared" si="302"/>
        <v>823692.13573697838</v>
      </c>
      <c r="V356" s="61">
        <f t="shared" si="302"/>
        <v>769805.73433362483</v>
      </c>
      <c r="W356" s="61">
        <f t="shared" si="302"/>
        <v>721415.6926542226</v>
      </c>
      <c r="X356" s="61">
        <f t="shared" si="302"/>
        <v>672378.14161378704</v>
      </c>
      <c r="Y356" s="61">
        <f t="shared" si="302"/>
        <v>628390.78655494109</v>
      </c>
      <c r="Z356" s="61">
        <f t="shared" si="302"/>
        <v>587281.10892985156</v>
      </c>
      <c r="AA356" s="61">
        <f t="shared" si="302"/>
        <v>550364.57782185555</v>
      </c>
      <c r="AB356" s="61">
        <f t="shared" si="302"/>
        <v>512954.06492257101</v>
      </c>
      <c r="AC356" s="61">
        <f t="shared" si="302"/>
        <v>479396.32235754299</v>
      </c>
      <c r="AD356" s="61">
        <f t="shared" si="302"/>
        <v>448033.94612854486</v>
      </c>
      <c r="AE356" s="61">
        <f t="shared" si="302"/>
        <v>419870.50130085112</v>
      </c>
      <c r="AF356" s="61">
        <f t="shared" si="302"/>
        <v>391330.20012974483</v>
      </c>
      <c r="AG356" s="61">
        <f t="shared" si="302"/>
        <v>365729.15899976151</v>
      </c>
      <c r="AH356" s="61">
        <f t="shared" si="302"/>
        <v>341802.95233622566</v>
      </c>
      <c r="AI356" s="61">
        <f t="shared" si="302"/>
        <v>320317.19512241351</v>
      </c>
      <c r="AJ356" s="61">
        <f t="shared" si="302"/>
        <v>298543.93600858212</v>
      </c>
      <c r="AK356" s="61">
        <f t="shared" si="302"/>
        <v>279013.02430708607</v>
      </c>
      <c r="AL356" s="61">
        <f t="shared" si="302"/>
        <v>260759.83580101506</v>
      </c>
      <c r="AM356" s="61">
        <f t="shared" si="302"/>
        <v>244368.45449538218</v>
      </c>
    </row>
    <row r="357" spans="2:39" x14ac:dyDescent="0.2">
      <c r="H357" s="32">
        <f t="shared" si="301"/>
        <v>32502233.305877417</v>
      </c>
      <c r="J357" s="61">
        <f t="shared" ref="J357:AM357" si="303">J355/((1+Discount_2)^(J354-$J$354))</f>
        <v>0</v>
      </c>
      <c r="K357" s="61">
        <f t="shared" si="303"/>
        <v>1154854.3689320388</v>
      </c>
      <c r="L357" s="61">
        <f t="shared" si="303"/>
        <v>1376190.0273352815</v>
      </c>
      <c r="M357" s="61">
        <f t="shared" si="303"/>
        <v>1586626.8519035403</v>
      </c>
      <c r="N357" s="61">
        <f t="shared" si="303"/>
        <v>1540414.4193238257</v>
      </c>
      <c r="O357" s="61">
        <f t="shared" si="303"/>
        <v>1499645.3716518693</v>
      </c>
      <c r="P357" s="61">
        <f t="shared" si="303"/>
        <v>1451988.3300252859</v>
      </c>
      <c r="Q357" s="61">
        <f t="shared" si="303"/>
        <v>1409697.4077915396</v>
      </c>
      <c r="R357" s="61">
        <f t="shared" si="303"/>
        <v>1368638.2599917862</v>
      </c>
      <c r="S357" s="61">
        <f t="shared" si="303"/>
        <v>1332415.4891793954</v>
      </c>
      <c r="T357" s="61">
        <f t="shared" si="303"/>
        <v>1290072.8249521973</v>
      </c>
      <c r="U357" s="61">
        <f t="shared" si="303"/>
        <v>1252497.8883031041</v>
      </c>
      <c r="V357" s="61">
        <f t="shared" si="303"/>
        <v>1216017.3672845673</v>
      </c>
      <c r="W357" s="61">
        <f t="shared" si="303"/>
        <v>1183833.9045781398</v>
      </c>
      <c r="X357" s="61">
        <f t="shared" si="303"/>
        <v>1146212.9958380312</v>
      </c>
      <c r="Y357" s="61">
        <f t="shared" si="303"/>
        <v>1112828.1512990594</v>
      </c>
      <c r="Z357" s="61">
        <f t="shared" si="303"/>
        <v>1080415.6808728732</v>
      </c>
      <c r="AA357" s="61">
        <f t="shared" si="303"/>
        <v>1051821.0911011349</v>
      </c>
      <c r="AB357" s="61">
        <f t="shared" si="303"/>
        <v>1018395.4009547302</v>
      </c>
      <c r="AC357" s="61">
        <f t="shared" si="303"/>
        <v>988733.39898517495</v>
      </c>
      <c r="AD357" s="61">
        <f t="shared" si="303"/>
        <v>959935.33882055827</v>
      </c>
      <c r="AE357" s="61">
        <f t="shared" si="303"/>
        <v>934529.41616790625</v>
      </c>
      <c r="AF357" s="61">
        <f t="shared" si="303"/>
        <v>904831.12340518262</v>
      </c>
      <c r="AG357" s="61">
        <f t="shared" si="303"/>
        <v>878476.81883998308</v>
      </c>
      <c r="AH357" s="61">
        <f t="shared" si="303"/>
        <v>852890.11537862453</v>
      </c>
      <c r="AI357" s="61">
        <f t="shared" si="303"/>
        <v>830317.2821613953</v>
      </c>
      <c r="AJ357" s="61">
        <f t="shared" si="303"/>
        <v>803930.73369650706</v>
      </c>
      <c r="AK357" s="61">
        <f t="shared" si="303"/>
        <v>780515.27543350216</v>
      </c>
      <c r="AL357" s="61">
        <f t="shared" si="303"/>
        <v>757781.82080922532</v>
      </c>
      <c r="AM357" s="61">
        <f t="shared" si="303"/>
        <v>737726.15086095629</v>
      </c>
    </row>
    <row r="358" spans="2:39" x14ac:dyDescent="0.2">
      <c r="B358" s="39" t="s">
        <v>216</v>
      </c>
    </row>
    <row r="360" spans="2:39" x14ac:dyDescent="0.2">
      <c r="B360" s="74" t="s">
        <v>210</v>
      </c>
    </row>
    <row r="361" spans="2:39" x14ac:dyDescent="0.2">
      <c r="B361" s="74"/>
    </row>
    <row r="362" spans="2:39" x14ac:dyDescent="0.2">
      <c r="B362" s="75" t="s">
        <v>199</v>
      </c>
      <c r="C362" s="76">
        <v>0.89285700000000001</v>
      </c>
      <c r="D362" s="75" t="s">
        <v>200</v>
      </c>
    </row>
    <row r="363" spans="2:39" x14ac:dyDescent="0.2">
      <c r="B363" s="77"/>
    </row>
    <row r="364" spans="2:39" x14ac:dyDescent="0.2">
      <c r="B364" s="78"/>
      <c r="C364" s="79" t="s">
        <v>185</v>
      </c>
      <c r="D364" s="80" t="s">
        <v>186</v>
      </c>
      <c r="E364" s="15" t="s">
        <v>209</v>
      </c>
      <c r="F364" s="80" t="s">
        <v>188</v>
      </c>
      <c r="G364" s="80" t="s">
        <v>189</v>
      </c>
      <c r="H364" s="80" t="s">
        <v>31</v>
      </c>
    </row>
    <row r="365" spans="2:39" x14ac:dyDescent="0.2">
      <c r="B365" s="81" t="s">
        <v>219</v>
      </c>
      <c r="C365" s="76">
        <v>2.5132275132275136E-6</v>
      </c>
      <c r="D365" s="82">
        <v>2.5</v>
      </c>
      <c r="E365" s="62">
        <f>C365*D365</f>
        <v>6.2830687830687841E-6</v>
      </c>
      <c r="F365" s="51">
        <f>E365*365</f>
        <v>2.2933201058201063E-3</v>
      </c>
      <c r="G365" s="63">
        <f>F365*$C$362</f>
        <v>2.0476069097222229E-3</v>
      </c>
      <c r="H365" s="51" t="s">
        <v>211</v>
      </c>
    </row>
    <row r="366" spans="2:39" x14ac:dyDescent="0.2">
      <c r="B366" s="81" t="s">
        <v>220</v>
      </c>
      <c r="C366" s="76">
        <v>2.437830687830688E-6</v>
      </c>
      <c r="D366" s="82">
        <v>2.5</v>
      </c>
      <c r="E366" s="62">
        <f t="shared" ref="E366:E371" si="304">C366*D366</f>
        <v>6.0945767195767202E-6</v>
      </c>
      <c r="F366" s="51">
        <f t="shared" ref="F366:F371" si="305">E366*365</f>
        <v>2.2245205026455027E-3</v>
      </c>
      <c r="G366" s="63">
        <f t="shared" ref="G366:G371" si="306">F366*$C$362</f>
        <v>1.9861787024305555E-3</v>
      </c>
    </row>
    <row r="367" spans="2:39" x14ac:dyDescent="0.2">
      <c r="B367" s="81" t="s">
        <v>201</v>
      </c>
      <c r="C367" s="76">
        <v>6.746031746031746E-6</v>
      </c>
      <c r="D367" s="82">
        <v>2.5</v>
      </c>
      <c r="E367" s="62">
        <f t="shared" si="304"/>
        <v>1.6865079365079364E-5</v>
      </c>
      <c r="F367" s="51">
        <f t="shared" si="305"/>
        <v>6.1557539682539674E-3</v>
      </c>
      <c r="G367" s="63">
        <f t="shared" si="306"/>
        <v>5.4962080208333323E-3</v>
      </c>
    </row>
    <row r="368" spans="2:39" x14ac:dyDescent="0.2">
      <c r="B368" s="81" t="s">
        <v>202</v>
      </c>
      <c r="C368" s="76">
        <v>9.6560846560846567E-5</v>
      </c>
      <c r="D368" s="82">
        <v>2.5</v>
      </c>
      <c r="E368" s="62">
        <f t="shared" si="304"/>
        <v>2.4140211640211642E-4</v>
      </c>
      <c r="F368" s="51">
        <f t="shared" si="305"/>
        <v>8.8111772486772488E-2</v>
      </c>
      <c r="G368" s="63">
        <f t="shared" si="306"/>
        <v>7.8671212847222227E-2</v>
      </c>
    </row>
    <row r="369" spans="2:11" x14ac:dyDescent="0.2">
      <c r="B369" s="81" t="s">
        <v>203</v>
      </c>
      <c r="C369" s="76">
        <v>2.4206349206349206E-5</v>
      </c>
      <c r="D369" s="82">
        <v>2.5</v>
      </c>
      <c r="E369" s="62">
        <f t="shared" si="304"/>
        <v>6.0515873015873012E-5</v>
      </c>
      <c r="F369" s="51">
        <f t="shared" si="305"/>
        <v>2.208829365079365E-2</v>
      </c>
      <c r="G369" s="63">
        <f t="shared" si="306"/>
        <v>1.9721687604166666E-2</v>
      </c>
    </row>
    <row r="370" spans="2:11" x14ac:dyDescent="0.2">
      <c r="B370" s="81" t="s">
        <v>196</v>
      </c>
      <c r="C370" s="76">
        <v>1.5223520833333333E-7</v>
      </c>
      <c r="D370" s="82">
        <v>2.5</v>
      </c>
      <c r="E370" s="62">
        <f t="shared" si="304"/>
        <v>3.8058802083333331E-7</v>
      </c>
      <c r="F370" s="51">
        <f t="shared" si="305"/>
        <v>1.3891462760416665E-4</v>
      </c>
      <c r="G370" s="63">
        <f t="shared" si="306"/>
        <v>1.2403089765877342E-4</v>
      </c>
    </row>
    <row r="371" spans="2:11" x14ac:dyDescent="0.2">
      <c r="B371" s="81" t="s">
        <v>197</v>
      </c>
      <c r="C371" s="83">
        <v>1.656686423611111E-2</v>
      </c>
      <c r="D371" s="82">
        <v>2.5</v>
      </c>
      <c r="E371" s="62">
        <f t="shared" si="304"/>
        <v>4.141716059027778E-2</v>
      </c>
      <c r="F371" s="51">
        <f t="shared" si="305"/>
        <v>15.117263615451389</v>
      </c>
      <c r="G371" s="63">
        <f t="shared" si="306"/>
        <v>13.497554639901081</v>
      </c>
    </row>
    <row r="372" spans="2:11" x14ac:dyDescent="0.2">
      <c r="B372" s="77"/>
    </row>
    <row r="373" spans="2:11" x14ac:dyDescent="0.2">
      <c r="B373" s="84" t="s">
        <v>204</v>
      </c>
      <c r="E373" s="50" t="s">
        <v>31</v>
      </c>
    </row>
    <row r="374" spans="2:11" x14ac:dyDescent="0.2">
      <c r="B374" s="85" t="s">
        <v>205</v>
      </c>
      <c r="C374" s="75"/>
      <c r="D374" s="86">
        <v>2</v>
      </c>
      <c r="E374" s="51" t="s">
        <v>206</v>
      </c>
    </row>
    <row r="375" spans="2:11" x14ac:dyDescent="0.2">
      <c r="B375" s="85" t="s">
        <v>207</v>
      </c>
      <c r="C375" s="75"/>
      <c r="D375" s="86">
        <v>1500</v>
      </c>
      <c r="E375" s="51" t="s">
        <v>206</v>
      </c>
    </row>
    <row r="376" spans="2:11" x14ac:dyDescent="0.2">
      <c r="B376" s="85" t="s">
        <v>208</v>
      </c>
      <c r="C376" s="75"/>
      <c r="D376" s="86">
        <v>2</v>
      </c>
      <c r="E376" s="51" t="s">
        <v>206</v>
      </c>
    </row>
    <row r="378" spans="2:11" x14ac:dyDescent="0.2">
      <c r="B378" s="87" t="s">
        <v>217</v>
      </c>
    </row>
    <row r="380" spans="2:11" x14ac:dyDescent="0.2">
      <c r="B380" s="64"/>
      <c r="C380" s="88" t="s">
        <v>185</v>
      </c>
      <c r="D380" s="88" t="s">
        <v>186</v>
      </c>
      <c r="E380" s="88" t="s">
        <v>187</v>
      </c>
      <c r="F380" s="88" t="s">
        <v>188</v>
      </c>
      <c r="G380" s="88" t="s">
        <v>189</v>
      </c>
      <c r="H380" s="89" t="s">
        <v>190</v>
      </c>
      <c r="I380" s="75" t="s">
        <v>191</v>
      </c>
      <c r="J380" s="89" t="s">
        <v>192</v>
      </c>
      <c r="K380" s="75" t="s">
        <v>191</v>
      </c>
    </row>
    <row r="381" spans="2:11" x14ac:dyDescent="0.2">
      <c r="B381" s="75" t="s">
        <v>193</v>
      </c>
      <c r="C381" s="65">
        <f>C365+C366</f>
        <v>4.9510582010582016E-6</v>
      </c>
      <c r="D381" s="51">
        <f>$D$365</f>
        <v>2.5</v>
      </c>
      <c r="E381" s="66">
        <f>C381*D381</f>
        <v>1.2377645502645503E-5</v>
      </c>
      <c r="F381" s="67">
        <f>E381*365</f>
        <v>4.517840608465609E-3</v>
      </c>
      <c r="G381" s="51">
        <f>F381*$C$362</f>
        <v>4.0337856121527779E-3</v>
      </c>
      <c r="H381" s="47">
        <v>290000</v>
      </c>
      <c r="I381" s="68">
        <f>G381*H381</f>
        <v>1169.7978275243056</v>
      </c>
    </row>
    <row r="382" spans="2:11" x14ac:dyDescent="0.2">
      <c r="B382" s="75" t="s">
        <v>194</v>
      </c>
      <c r="C382" s="65">
        <f>C367*1.053</f>
        <v>7.1035714285714281E-6</v>
      </c>
      <c r="D382" s="51">
        <f t="shared" ref="D382:D385" si="307">$D$365</f>
        <v>2.5</v>
      </c>
      <c r="E382" s="66">
        <f t="shared" ref="E382:E385" si="308">C382*D382</f>
        <v>1.7758928571428569E-5</v>
      </c>
      <c r="F382" s="67">
        <f t="shared" ref="F382:F385" si="309">E382*365</f>
        <v>6.4820089285714273E-3</v>
      </c>
      <c r="G382" s="51">
        <f t="shared" ref="G382:G385" si="310">F382*$C$362</f>
        <v>5.7875070459374985E-3</v>
      </c>
      <c r="H382" s="47">
        <v>1300</v>
      </c>
      <c r="I382" s="68">
        <f t="shared" ref="I382:I385" si="311">G382*H382</f>
        <v>7.5237591597187476</v>
      </c>
    </row>
    <row r="383" spans="2:11" x14ac:dyDescent="0.2">
      <c r="B383" s="75" t="s">
        <v>195</v>
      </c>
      <c r="C383" s="65">
        <f>C368</f>
        <v>9.6560846560846567E-5</v>
      </c>
      <c r="D383" s="51">
        <f t="shared" si="307"/>
        <v>2.5</v>
      </c>
      <c r="E383" s="66">
        <f t="shared" si="308"/>
        <v>2.4140211640211642E-4</v>
      </c>
      <c r="F383" s="67">
        <f t="shared" si="309"/>
        <v>8.8111772486772488E-2</v>
      </c>
      <c r="G383" s="51">
        <f t="shared" si="310"/>
        <v>7.8671212847222227E-2</v>
      </c>
      <c r="H383" s="47">
        <v>5300</v>
      </c>
      <c r="I383" s="68">
        <f t="shared" si="311"/>
        <v>416.9574280902778</v>
      </c>
    </row>
    <row r="384" spans="2:11" x14ac:dyDescent="0.2">
      <c r="B384" s="75" t="s">
        <v>196</v>
      </c>
      <c r="C384" s="65">
        <f>C370</f>
        <v>1.5223520833333333E-7</v>
      </c>
      <c r="D384" s="51">
        <f t="shared" si="307"/>
        <v>2.5</v>
      </c>
      <c r="E384" s="66">
        <f t="shared" si="308"/>
        <v>3.8058802083333331E-7</v>
      </c>
      <c r="F384" s="67">
        <f t="shared" si="309"/>
        <v>1.3891462760416665E-4</v>
      </c>
      <c r="G384" s="51">
        <f t="shared" si="310"/>
        <v>1.2403089765877342E-4</v>
      </c>
      <c r="H384" s="47">
        <v>31000</v>
      </c>
      <c r="I384" s="68">
        <f t="shared" si="311"/>
        <v>3.8449578274219762</v>
      </c>
    </row>
    <row r="385" spans="2:11" x14ac:dyDescent="0.2">
      <c r="B385" s="75" t="s">
        <v>197</v>
      </c>
      <c r="C385" s="65">
        <f>C369+C371</f>
        <v>1.6591070585317461E-2</v>
      </c>
      <c r="D385" s="51">
        <f t="shared" si="307"/>
        <v>2.5</v>
      </c>
      <c r="E385" s="66">
        <f t="shared" si="308"/>
        <v>4.1477676463293651E-2</v>
      </c>
      <c r="F385" s="67">
        <f t="shared" si="309"/>
        <v>15.139351909102183</v>
      </c>
      <c r="G385" s="51">
        <f t="shared" si="310"/>
        <v>13.517276327505249</v>
      </c>
      <c r="H385" s="47">
        <v>24.3</v>
      </c>
      <c r="I385" s="69">
        <f t="shared" si="311"/>
        <v>328.46981475837754</v>
      </c>
    </row>
    <row r="386" spans="2:11" x14ac:dyDescent="0.2">
      <c r="I386" s="68">
        <f>SUM(I381:I385)</f>
        <v>1926.5937873601015</v>
      </c>
      <c r="J386" s="51">
        <f>D374</f>
        <v>2</v>
      </c>
      <c r="K386" s="68">
        <f>I386*J386</f>
        <v>3853.187574720203</v>
      </c>
    </row>
    <row r="387" spans="2:11" x14ac:dyDescent="0.2">
      <c r="I387" s="70"/>
      <c r="J387" s="71"/>
      <c r="K387" s="70"/>
    </row>
    <row r="388" spans="2:11" x14ac:dyDescent="0.2">
      <c r="C388" s="88" t="s">
        <v>185</v>
      </c>
      <c r="D388" s="88" t="s">
        <v>186</v>
      </c>
      <c r="E388" s="88" t="s">
        <v>187</v>
      </c>
      <c r="F388" s="88" t="s">
        <v>188</v>
      </c>
      <c r="G388" s="88" t="s">
        <v>189</v>
      </c>
      <c r="H388" s="89" t="s">
        <v>190</v>
      </c>
      <c r="I388" s="75" t="s">
        <v>191</v>
      </c>
      <c r="J388" s="89" t="s">
        <v>192</v>
      </c>
      <c r="K388" s="75" t="s">
        <v>191</v>
      </c>
    </row>
    <row r="389" spans="2:11" x14ac:dyDescent="0.2">
      <c r="B389" s="75" t="s">
        <v>193</v>
      </c>
      <c r="C389" s="65">
        <f>C366+C365</f>
        <v>4.9510582010582016E-6</v>
      </c>
      <c r="D389" s="51">
        <v>3.25</v>
      </c>
      <c r="E389" s="66">
        <f>C389*D389</f>
        <v>1.6090939153439157E-5</v>
      </c>
      <c r="F389" s="67">
        <f>E389*365</f>
        <v>5.8731927910052918E-3</v>
      </c>
      <c r="G389" s="51">
        <f>F389*$C$362</f>
        <v>5.2439212957986116E-3</v>
      </c>
      <c r="H389" s="47">
        <v>290000</v>
      </c>
      <c r="I389" s="68">
        <f>G389*H389</f>
        <v>1520.7371757815974</v>
      </c>
    </row>
    <row r="390" spans="2:11" x14ac:dyDescent="0.2">
      <c r="B390" s="75" t="s">
        <v>194</v>
      </c>
      <c r="C390" s="65">
        <f>C367*1.053</f>
        <v>7.1035714285714281E-6</v>
      </c>
      <c r="D390" s="51">
        <f>D389</f>
        <v>3.25</v>
      </c>
      <c r="E390" s="66">
        <f t="shared" ref="E390:E393" si="312">C390*D390</f>
        <v>2.3086607142857141E-5</v>
      </c>
      <c r="F390" s="67">
        <f t="shared" ref="F390:F393" si="313">E390*365</f>
        <v>8.4266116071428556E-3</v>
      </c>
      <c r="G390" s="51">
        <f t="shared" ref="G390:G393" si="314">F390*$C$362</f>
        <v>7.5237591597187483E-3</v>
      </c>
      <c r="H390" s="47">
        <v>1300</v>
      </c>
      <c r="I390" s="68">
        <f t="shared" ref="I390:I393" si="315">G390*H390</f>
        <v>9.7808869076343736</v>
      </c>
    </row>
    <row r="391" spans="2:11" x14ac:dyDescent="0.2">
      <c r="B391" s="75" t="s">
        <v>195</v>
      </c>
      <c r="C391" s="65">
        <f>C368</f>
        <v>9.6560846560846567E-5</v>
      </c>
      <c r="D391" s="51">
        <f t="shared" ref="D391:D393" si="316">D390</f>
        <v>3.25</v>
      </c>
      <c r="E391" s="66">
        <f t="shared" si="312"/>
        <v>3.1382275132275136E-4</v>
      </c>
      <c r="F391" s="67">
        <f t="shared" si="313"/>
        <v>0.11454530423280425</v>
      </c>
      <c r="G391" s="51">
        <f t="shared" si="314"/>
        <v>0.10227257670138891</v>
      </c>
      <c r="H391" s="47">
        <v>5300</v>
      </c>
      <c r="I391" s="68">
        <f t="shared" si="315"/>
        <v>542.0446565173612</v>
      </c>
    </row>
    <row r="392" spans="2:11" x14ac:dyDescent="0.2">
      <c r="B392" s="75" t="s">
        <v>196</v>
      </c>
      <c r="C392" s="65">
        <f>C370</f>
        <v>1.5223520833333333E-7</v>
      </c>
      <c r="D392" s="51">
        <f t="shared" si="316"/>
        <v>3.25</v>
      </c>
      <c r="E392" s="66">
        <f t="shared" si="312"/>
        <v>4.9476442708333336E-7</v>
      </c>
      <c r="F392" s="67">
        <f t="shared" si="313"/>
        <v>1.8058901588541667E-4</v>
      </c>
      <c r="G392" s="51">
        <f t="shared" si="314"/>
        <v>1.6124016695640548E-4</v>
      </c>
      <c r="H392" s="47">
        <v>31000</v>
      </c>
      <c r="I392" s="68">
        <f t="shared" si="315"/>
        <v>4.9984451756485697</v>
      </c>
    </row>
    <row r="393" spans="2:11" x14ac:dyDescent="0.2">
      <c r="B393" s="75" t="s">
        <v>197</v>
      </c>
      <c r="C393" s="65">
        <f>C371+C369</f>
        <v>1.6591070585317461E-2</v>
      </c>
      <c r="D393" s="51">
        <f t="shared" si="316"/>
        <v>3.25</v>
      </c>
      <c r="E393" s="66">
        <f t="shared" si="312"/>
        <v>5.3920979402281743E-2</v>
      </c>
      <c r="F393" s="67">
        <f t="shared" si="313"/>
        <v>19.681157481832837</v>
      </c>
      <c r="G393" s="51">
        <f t="shared" si="314"/>
        <v>17.572459225756823</v>
      </c>
      <c r="H393" s="47">
        <v>24.3</v>
      </c>
      <c r="I393" s="68">
        <f t="shared" si="315"/>
        <v>427.01075918589083</v>
      </c>
    </row>
    <row r="394" spans="2:11" x14ac:dyDescent="0.2">
      <c r="I394" s="68">
        <f>SUM(I389:I393)</f>
        <v>2504.5719235681327</v>
      </c>
      <c r="J394" s="51">
        <v>2</v>
      </c>
      <c r="K394" s="68">
        <f>I394*J394</f>
        <v>5009.1438471362653</v>
      </c>
    </row>
    <row r="396" spans="2:11" x14ac:dyDescent="0.2">
      <c r="C396" s="88" t="s">
        <v>185</v>
      </c>
      <c r="D396" s="88" t="s">
        <v>186</v>
      </c>
      <c r="E396" s="88" t="s">
        <v>187</v>
      </c>
      <c r="F396" s="88" t="s">
        <v>188</v>
      </c>
      <c r="G396" s="88" t="s">
        <v>189</v>
      </c>
      <c r="H396" s="89" t="s">
        <v>190</v>
      </c>
      <c r="I396" s="75" t="s">
        <v>191</v>
      </c>
      <c r="J396" s="89" t="s">
        <v>192</v>
      </c>
      <c r="K396" s="75" t="s">
        <v>191</v>
      </c>
    </row>
    <row r="397" spans="2:11" x14ac:dyDescent="0.2">
      <c r="B397" s="75" t="s">
        <v>193</v>
      </c>
      <c r="C397" s="65">
        <f>C365+C366</f>
        <v>4.9510582010582016E-6</v>
      </c>
      <c r="D397" s="72">
        <v>4</v>
      </c>
      <c r="E397" s="66">
        <f>C397*D397</f>
        <v>1.9804232804232806E-5</v>
      </c>
      <c r="F397" s="67">
        <f>E397*365</f>
        <v>7.2285449735449746E-3</v>
      </c>
      <c r="G397" s="51">
        <f>F397*$C$362</f>
        <v>6.4540569794444454E-3</v>
      </c>
      <c r="H397" s="47">
        <v>290000</v>
      </c>
      <c r="I397" s="68">
        <f>G397*H397</f>
        <v>1871.6765240388891</v>
      </c>
    </row>
    <row r="398" spans="2:11" x14ac:dyDescent="0.2">
      <c r="B398" s="75" t="s">
        <v>194</v>
      </c>
      <c r="C398" s="65">
        <f>C367*1.053</f>
        <v>7.1035714285714281E-6</v>
      </c>
      <c r="D398" s="72">
        <f>D397</f>
        <v>4</v>
      </c>
      <c r="E398" s="66">
        <f t="shared" ref="E398:E401" si="317">C398*D398</f>
        <v>2.8414285714285712E-5</v>
      </c>
      <c r="F398" s="67">
        <f t="shared" ref="F398:F401" si="318">E398*365</f>
        <v>1.0371214285714286E-2</v>
      </c>
      <c r="G398" s="51">
        <f t="shared" ref="G398:G401" si="319">F398*$C$362</f>
        <v>9.2600112735000007E-3</v>
      </c>
      <c r="H398" s="47">
        <v>1300</v>
      </c>
      <c r="I398" s="68">
        <f t="shared" ref="I398:I401" si="320">G398*H398</f>
        <v>12.03801465555</v>
      </c>
    </row>
    <row r="399" spans="2:11" x14ac:dyDescent="0.2">
      <c r="B399" s="75" t="s">
        <v>195</v>
      </c>
      <c r="C399" s="65">
        <f>C368</f>
        <v>9.6560846560846567E-5</v>
      </c>
      <c r="D399" s="72">
        <f t="shared" ref="D399:D401" si="321">D398</f>
        <v>4</v>
      </c>
      <c r="E399" s="66">
        <f t="shared" si="317"/>
        <v>3.8624338624338627E-4</v>
      </c>
      <c r="F399" s="67">
        <f t="shared" si="318"/>
        <v>0.14097883597883598</v>
      </c>
      <c r="G399" s="51">
        <f t="shared" si="319"/>
        <v>0.12587394055555556</v>
      </c>
      <c r="H399" s="47">
        <v>5300</v>
      </c>
      <c r="I399" s="68">
        <f t="shared" si="320"/>
        <v>667.13188494444444</v>
      </c>
    </row>
    <row r="400" spans="2:11" x14ac:dyDescent="0.2">
      <c r="B400" s="75" t="s">
        <v>196</v>
      </c>
      <c r="C400" s="65">
        <f>C370</f>
        <v>1.5223520833333333E-7</v>
      </c>
      <c r="D400" s="72">
        <f t="shared" si="321"/>
        <v>4</v>
      </c>
      <c r="E400" s="66">
        <f t="shared" si="317"/>
        <v>6.089408333333333E-7</v>
      </c>
      <c r="F400" s="67">
        <f t="shared" si="318"/>
        <v>2.2226340416666666E-4</v>
      </c>
      <c r="G400" s="51">
        <f t="shared" si="319"/>
        <v>1.9844943625403749E-4</v>
      </c>
      <c r="H400" s="47">
        <v>31000</v>
      </c>
      <c r="I400" s="68">
        <f t="shared" si="320"/>
        <v>6.1519325238751623</v>
      </c>
    </row>
    <row r="401" spans="2:37" x14ac:dyDescent="0.2">
      <c r="B401" s="75" t="s">
        <v>197</v>
      </c>
      <c r="C401" s="65">
        <f>C369+C371</f>
        <v>1.6591070585317461E-2</v>
      </c>
      <c r="D401" s="72">
        <f t="shared" si="321"/>
        <v>4</v>
      </c>
      <c r="E401" s="66">
        <f t="shared" si="317"/>
        <v>6.6364282341269842E-2</v>
      </c>
      <c r="F401" s="67">
        <f t="shared" si="318"/>
        <v>24.222963054563493</v>
      </c>
      <c r="G401" s="51">
        <f t="shared" si="319"/>
        <v>21.627642124008396</v>
      </c>
      <c r="H401" s="47">
        <v>24.3</v>
      </c>
      <c r="I401" s="68">
        <f t="shared" si="320"/>
        <v>525.55170361340402</v>
      </c>
    </row>
    <row r="402" spans="2:37" x14ac:dyDescent="0.2">
      <c r="I402" s="68">
        <f>SUM(I397:I401)</f>
        <v>3082.5500597761629</v>
      </c>
      <c r="J402" s="51">
        <v>2</v>
      </c>
      <c r="K402" s="68">
        <f>I402*J402</f>
        <v>6165.1001195523259</v>
      </c>
    </row>
    <row r="404" spans="2:37" x14ac:dyDescent="0.2">
      <c r="C404" s="88" t="s">
        <v>185</v>
      </c>
      <c r="D404" s="88" t="s">
        <v>186</v>
      </c>
      <c r="E404" s="88" t="s">
        <v>187</v>
      </c>
      <c r="F404" s="88" t="s">
        <v>188</v>
      </c>
      <c r="G404" s="88" t="s">
        <v>189</v>
      </c>
      <c r="H404" s="89" t="s">
        <v>190</v>
      </c>
      <c r="I404" s="75" t="s">
        <v>191</v>
      </c>
      <c r="J404" s="89" t="s">
        <v>192</v>
      </c>
      <c r="K404" s="75" t="s">
        <v>191</v>
      </c>
    </row>
    <row r="405" spans="2:37" x14ac:dyDescent="0.2">
      <c r="B405" s="75" t="s">
        <v>193</v>
      </c>
      <c r="C405" s="65">
        <f>C365+C366</f>
        <v>4.9510582010582016E-6</v>
      </c>
      <c r="D405" s="51">
        <v>4.75</v>
      </c>
      <c r="E405" s="66">
        <f>C405*D405</f>
        <v>2.3517526455026456E-5</v>
      </c>
      <c r="F405" s="67">
        <f>E405*365</f>
        <v>8.5838971560846557E-3</v>
      </c>
      <c r="G405" s="51">
        <f>F405*$C$362</f>
        <v>7.6641926630902774E-3</v>
      </c>
      <c r="H405" s="47">
        <v>290000</v>
      </c>
      <c r="I405" s="68">
        <f>G405*H405</f>
        <v>2222.6158722961804</v>
      </c>
    </row>
    <row r="406" spans="2:37" x14ac:dyDescent="0.2">
      <c r="B406" s="75" t="s">
        <v>194</v>
      </c>
      <c r="C406" s="65">
        <f>C367*1.053</f>
        <v>7.1035714285714281E-6</v>
      </c>
      <c r="D406" s="51">
        <f>D405</f>
        <v>4.75</v>
      </c>
      <c r="E406" s="66">
        <f t="shared" ref="E406:E409" si="322">C406*D406</f>
        <v>3.3741964285714281E-5</v>
      </c>
      <c r="F406" s="67">
        <f t="shared" ref="F406:F409" si="323">E406*365</f>
        <v>1.2315816964285712E-2</v>
      </c>
      <c r="G406" s="51">
        <f t="shared" ref="G406:G409" si="324">F406*$C$362</f>
        <v>1.0996263387281248E-2</v>
      </c>
      <c r="H406" s="47">
        <v>1300</v>
      </c>
      <c r="I406" s="68">
        <f t="shared" ref="I406:I409" si="325">G406*H406</f>
        <v>14.295142403465622</v>
      </c>
    </row>
    <row r="407" spans="2:37" x14ac:dyDescent="0.2">
      <c r="B407" s="75" t="s">
        <v>195</v>
      </c>
      <c r="C407" s="65">
        <f>C368</f>
        <v>9.6560846560846567E-5</v>
      </c>
      <c r="D407" s="51">
        <f t="shared" ref="D407:D409" si="326">D406</f>
        <v>4.75</v>
      </c>
      <c r="E407" s="66">
        <f t="shared" si="322"/>
        <v>4.5866402116402118E-4</v>
      </c>
      <c r="F407" s="67">
        <f t="shared" si="323"/>
        <v>0.16741236772486773</v>
      </c>
      <c r="G407" s="51">
        <f t="shared" si="324"/>
        <v>0.14947530440972223</v>
      </c>
      <c r="H407" s="47">
        <v>5300</v>
      </c>
      <c r="I407" s="68">
        <f t="shared" si="325"/>
        <v>792.21911337152778</v>
      </c>
    </row>
    <row r="408" spans="2:37" x14ac:dyDescent="0.2">
      <c r="B408" s="75" t="s">
        <v>196</v>
      </c>
      <c r="C408" s="65">
        <f>C370</f>
        <v>1.5223520833333333E-7</v>
      </c>
      <c r="D408" s="51">
        <f t="shared" si="326"/>
        <v>4.75</v>
      </c>
      <c r="E408" s="66">
        <f t="shared" si="322"/>
        <v>7.2311723958333324E-7</v>
      </c>
      <c r="F408" s="67">
        <f t="shared" si="323"/>
        <v>2.6393779244791664E-4</v>
      </c>
      <c r="G408" s="51">
        <f t="shared" si="324"/>
        <v>2.3565870555166952E-4</v>
      </c>
      <c r="H408" s="47">
        <v>31000</v>
      </c>
      <c r="I408" s="68">
        <f t="shared" si="325"/>
        <v>7.3054198721017549</v>
      </c>
    </row>
    <row r="409" spans="2:37" x14ac:dyDescent="0.2">
      <c r="B409" s="75" t="s">
        <v>197</v>
      </c>
      <c r="C409" s="65">
        <f>C369+C371</f>
        <v>1.6591070585317461E-2</v>
      </c>
      <c r="D409" s="51">
        <f t="shared" si="326"/>
        <v>4.75</v>
      </c>
      <c r="E409" s="66">
        <f t="shared" si="322"/>
        <v>7.8807585280257941E-2</v>
      </c>
      <c r="F409" s="67">
        <f t="shared" si="323"/>
        <v>28.764768627294149</v>
      </c>
      <c r="G409" s="51">
        <f t="shared" si="324"/>
        <v>25.682825022259973</v>
      </c>
      <c r="H409" s="47">
        <v>24.3</v>
      </c>
      <c r="I409" s="68">
        <f t="shared" si="325"/>
        <v>624.09264804091731</v>
      </c>
    </row>
    <row r="410" spans="2:37" x14ac:dyDescent="0.2">
      <c r="I410" s="68">
        <f>SUM(I405:I409)</f>
        <v>3660.5281959841923</v>
      </c>
      <c r="J410" s="51">
        <v>2</v>
      </c>
      <c r="K410" s="68">
        <f>I410*J410</f>
        <v>7321.0563919683846</v>
      </c>
    </row>
    <row r="412" spans="2:37" x14ac:dyDescent="0.2">
      <c r="H412" s="2" t="s">
        <v>212</v>
      </c>
    </row>
    <row r="413" spans="2:37" x14ac:dyDescent="0.2">
      <c r="C413" s="48" t="s">
        <v>160</v>
      </c>
      <c r="D413" s="2" t="s">
        <v>183</v>
      </c>
      <c r="H413" s="15">
        <f>Start_Year</f>
        <v>2015</v>
      </c>
      <c r="I413" s="15">
        <f>H413+1</f>
        <v>2016</v>
      </c>
      <c r="J413" s="15">
        <f t="shared" ref="J413:AK413" si="327">I413+1</f>
        <v>2017</v>
      </c>
      <c r="K413" s="15">
        <f t="shared" si="327"/>
        <v>2018</v>
      </c>
      <c r="L413" s="15">
        <f t="shared" si="327"/>
        <v>2019</v>
      </c>
      <c r="M413" s="15">
        <f t="shared" si="327"/>
        <v>2020</v>
      </c>
      <c r="N413" s="15">
        <f t="shared" si="327"/>
        <v>2021</v>
      </c>
      <c r="O413" s="15">
        <f t="shared" si="327"/>
        <v>2022</v>
      </c>
      <c r="P413" s="15">
        <f t="shared" si="327"/>
        <v>2023</v>
      </c>
      <c r="Q413" s="15">
        <f t="shared" si="327"/>
        <v>2024</v>
      </c>
      <c r="R413" s="15">
        <f t="shared" si="327"/>
        <v>2025</v>
      </c>
      <c r="S413" s="15">
        <f t="shared" si="327"/>
        <v>2026</v>
      </c>
      <c r="T413" s="15">
        <f t="shared" si="327"/>
        <v>2027</v>
      </c>
      <c r="U413" s="15">
        <f t="shared" si="327"/>
        <v>2028</v>
      </c>
      <c r="V413" s="15">
        <f t="shared" si="327"/>
        <v>2029</v>
      </c>
      <c r="W413" s="15">
        <f t="shared" si="327"/>
        <v>2030</v>
      </c>
      <c r="X413" s="15">
        <f t="shared" si="327"/>
        <v>2031</v>
      </c>
      <c r="Y413" s="15">
        <f t="shared" si="327"/>
        <v>2032</v>
      </c>
      <c r="Z413" s="15">
        <f t="shared" si="327"/>
        <v>2033</v>
      </c>
      <c r="AA413" s="15">
        <f t="shared" si="327"/>
        <v>2034</v>
      </c>
      <c r="AB413" s="15">
        <f t="shared" si="327"/>
        <v>2035</v>
      </c>
      <c r="AC413" s="15">
        <f t="shared" si="327"/>
        <v>2036</v>
      </c>
      <c r="AD413" s="15">
        <f t="shared" si="327"/>
        <v>2037</v>
      </c>
      <c r="AE413" s="15">
        <f t="shared" si="327"/>
        <v>2038</v>
      </c>
      <c r="AF413" s="15">
        <f t="shared" si="327"/>
        <v>2039</v>
      </c>
      <c r="AG413" s="15">
        <f t="shared" si="327"/>
        <v>2040</v>
      </c>
      <c r="AH413" s="15">
        <f t="shared" si="327"/>
        <v>2041</v>
      </c>
      <c r="AI413" s="15">
        <f t="shared" si="327"/>
        <v>2042</v>
      </c>
      <c r="AJ413" s="15">
        <f t="shared" si="327"/>
        <v>2043</v>
      </c>
      <c r="AK413" s="15">
        <f t="shared" si="327"/>
        <v>2044</v>
      </c>
    </row>
    <row r="414" spans="2:37" x14ac:dyDescent="0.2">
      <c r="C414" s="48" t="s">
        <v>161</v>
      </c>
      <c r="D414" s="50" t="s">
        <v>183</v>
      </c>
      <c r="H414" s="59">
        <f t="shared" ref="H414:Q415" si="328">J331</f>
        <v>18</v>
      </c>
      <c r="I414" s="59">
        <f t="shared" si="328"/>
        <v>18</v>
      </c>
      <c r="J414" s="59">
        <f t="shared" si="328"/>
        <v>18</v>
      </c>
      <c r="K414" s="59">
        <f t="shared" si="328"/>
        <v>18</v>
      </c>
      <c r="L414" s="59">
        <f t="shared" si="328"/>
        <v>18</v>
      </c>
      <c r="M414" s="59">
        <f t="shared" si="328"/>
        <v>18</v>
      </c>
      <c r="N414" s="59">
        <f t="shared" si="328"/>
        <v>18</v>
      </c>
      <c r="O414" s="59">
        <f t="shared" si="328"/>
        <v>18</v>
      </c>
      <c r="P414" s="59">
        <f t="shared" si="328"/>
        <v>18</v>
      </c>
      <c r="Q414" s="59">
        <f t="shared" si="328"/>
        <v>18</v>
      </c>
      <c r="R414" s="59">
        <f t="shared" ref="R414:AA415" si="329">T331</f>
        <v>18</v>
      </c>
      <c r="S414" s="59">
        <f t="shared" si="329"/>
        <v>18</v>
      </c>
      <c r="T414" s="59">
        <f t="shared" si="329"/>
        <v>18</v>
      </c>
      <c r="U414" s="59">
        <f t="shared" si="329"/>
        <v>18</v>
      </c>
      <c r="V414" s="59">
        <f t="shared" si="329"/>
        <v>18</v>
      </c>
      <c r="W414" s="59">
        <f t="shared" si="329"/>
        <v>18</v>
      </c>
      <c r="X414" s="59">
        <f t="shared" si="329"/>
        <v>18</v>
      </c>
      <c r="Y414" s="59">
        <f t="shared" si="329"/>
        <v>18</v>
      </c>
      <c r="Z414" s="59">
        <f t="shared" si="329"/>
        <v>18</v>
      </c>
      <c r="AA414" s="59">
        <f t="shared" si="329"/>
        <v>18</v>
      </c>
      <c r="AB414" s="59">
        <f t="shared" ref="AB414:AK415" si="330">AD331</f>
        <v>18</v>
      </c>
      <c r="AC414" s="59">
        <f t="shared" si="330"/>
        <v>18</v>
      </c>
      <c r="AD414" s="59">
        <f t="shared" si="330"/>
        <v>18</v>
      </c>
      <c r="AE414" s="59">
        <f t="shared" si="330"/>
        <v>18</v>
      </c>
      <c r="AF414" s="59">
        <f t="shared" si="330"/>
        <v>18</v>
      </c>
      <c r="AG414" s="59">
        <f t="shared" si="330"/>
        <v>18</v>
      </c>
      <c r="AH414" s="59">
        <f t="shared" si="330"/>
        <v>18</v>
      </c>
      <c r="AI414" s="59">
        <f t="shared" si="330"/>
        <v>18</v>
      </c>
      <c r="AJ414" s="59">
        <f t="shared" si="330"/>
        <v>18</v>
      </c>
      <c r="AK414" s="59">
        <f t="shared" si="330"/>
        <v>18</v>
      </c>
    </row>
    <row r="415" spans="2:37" x14ac:dyDescent="0.2">
      <c r="C415" s="48" t="s">
        <v>162</v>
      </c>
      <c r="D415" s="50" t="s">
        <v>183</v>
      </c>
      <c r="H415" s="59">
        <f t="shared" si="328"/>
        <v>21</v>
      </c>
      <c r="I415" s="59">
        <f t="shared" si="328"/>
        <v>22</v>
      </c>
      <c r="J415" s="59">
        <f t="shared" si="328"/>
        <v>23</v>
      </c>
      <c r="K415" s="59">
        <f t="shared" si="328"/>
        <v>24</v>
      </c>
      <c r="L415" s="59">
        <f t="shared" si="328"/>
        <v>24</v>
      </c>
      <c r="M415" s="59">
        <f t="shared" si="328"/>
        <v>24</v>
      </c>
      <c r="N415" s="59">
        <f t="shared" si="328"/>
        <v>24</v>
      </c>
      <c r="O415" s="59">
        <f t="shared" si="328"/>
        <v>24</v>
      </c>
      <c r="P415" s="59">
        <f t="shared" si="328"/>
        <v>24</v>
      </c>
      <c r="Q415" s="59">
        <f t="shared" si="328"/>
        <v>24</v>
      </c>
      <c r="R415" s="59">
        <f t="shared" si="329"/>
        <v>24</v>
      </c>
      <c r="S415" s="59">
        <f t="shared" si="329"/>
        <v>24</v>
      </c>
      <c r="T415" s="59">
        <f t="shared" si="329"/>
        <v>24</v>
      </c>
      <c r="U415" s="59">
        <f t="shared" si="329"/>
        <v>24</v>
      </c>
      <c r="V415" s="59">
        <f t="shared" si="329"/>
        <v>24</v>
      </c>
      <c r="W415" s="59">
        <f t="shared" si="329"/>
        <v>24</v>
      </c>
      <c r="X415" s="59">
        <f t="shared" si="329"/>
        <v>24</v>
      </c>
      <c r="Y415" s="59">
        <f t="shared" si="329"/>
        <v>24</v>
      </c>
      <c r="Z415" s="59">
        <f t="shared" si="329"/>
        <v>24</v>
      </c>
      <c r="AA415" s="59">
        <f t="shared" si="329"/>
        <v>24</v>
      </c>
      <c r="AB415" s="59">
        <f t="shared" si="330"/>
        <v>24</v>
      </c>
      <c r="AC415" s="59">
        <f t="shared" si="330"/>
        <v>24</v>
      </c>
      <c r="AD415" s="59">
        <f t="shared" si="330"/>
        <v>24</v>
      </c>
      <c r="AE415" s="59">
        <f t="shared" si="330"/>
        <v>24</v>
      </c>
      <c r="AF415" s="59">
        <f t="shared" si="330"/>
        <v>24</v>
      </c>
      <c r="AG415" s="59">
        <f t="shared" si="330"/>
        <v>24</v>
      </c>
      <c r="AH415" s="59">
        <f t="shared" si="330"/>
        <v>24</v>
      </c>
      <c r="AI415" s="59">
        <f t="shared" si="330"/>
        <v>24</v>
      </c>
      <c r="AJ415" s="59">
        <f t="shared" si="330"/>
        <v>24</v>
      </c>
      <c r="AK415" s="59">
        <f t="shared" si="330"/>
        <v>24</v>
      </c>
    </row>
    <row r="416" spans="2:37" x14ac:dyDescent="0.2">
      <c r="C416" s="48" t="s">
        <v>178</v>
      </c>
      <c r="D416" s="50" t="s">
        <v>183</v>
      </c>
      <c r="F416" s="2" t="s">
        <v>145</v>
      </c>
      <c r="H416" s="60">
        <f t="shared" ref="H416:AK416" si="331">J335</f>
        <v>2.5</v>
      </c>
      <c r="I416" s="60">
        <f t="shared" si="331"/>
        <v>3.25</v>
      </c>
      <c r="J416" s="60">
        <f t="shared" si="331"/>
        <v>4</v>
      </c>
      <c r="K416" s="60">
        <f t="shared" si="331"/>
        <v>4.75</v>
      </c>
      <c r="L416" s="60">
        <f t="shared" si="331"/>
        <v>4.75</v>
      </c>
      <c r="M416" s="60">
        <f t="shared" si="331"/>
        <v>4.75</v>
      </c>
      <c r="N416" s="60">
        <f t="shared" si="331"/>
        <v>4.75</v>
      </c>
      <c r="O416" s="60">
        <f t="shared" si="331"/>
        <v>4.75</v>
      </c>
      <c r="P416" s="60">
        <f t="shared" si="331"/>
        <v>4.75</v>
      </c>
      <c r="Q416" s="60">
        <f t="shared" si="331"/>
        <v>4.75</v>
      </c>
      <c r="R416" s="60">
        <f t="shared" si="331"/>
        <v>4.75</v>
      </c>
      <c r="S416" s="60">
        <f t="shared" si="331"/>
        <v>4.75</v>
      </c>
      <c r="T416" s="60">
        <f t="shared" si="331"/>
        <v>4.75</v>
      </c>
      <c r="U416" s="60">
        <f t="shared" si="331"/>
        <v>4.75</v>
      </c>
      <c r="V416" s="60">
        <f t="shared" si="331"/>
        <v>4.75</v>
      </c>
      <c r="W416" s="60">
        <f t="shared" si="331"/>
        <v>4.75</v>
      </c>
      <c r="X416" s="60">
        <f t="shared" si="331"/>
        <v>4.75</v>
      </c>
      <c r="Y416" s="60">
        <f t="shared" si="331"/>
        <v>4.75</v>
      </c>
      <c r="Z416" s="60">
        <f t="shared" si="331"/>
        <v>4.75</v>
      </c>
      <c r="AA416" s="60">
        <f t="shared" si="331"/>
        <v>4.75</v>
      </c>
      <c r="AB416" s="60">
        <f t="shared" si="331"/>
        <v>4.75</v>
      </c>
      <c r="AC416" s="60">
        <f t="shared" si="331"/>
        <v>4.75</v>
      </c>
      <c r="AD416" s="60">
        <f t="shared" si="331"/>
        <v>4.75</v>
      </c>
      <c r="AE416" s="60">
        <f t="shared" si="331"/>
        <v>4.75</v>
      </c>
      <c r="AF416" s="60">
        <f t="shared" si="331"/>
        <v>4.75</v>
      </c>
      <c r="AG416" s="60">
        <f t="shared" si="331"/>
        <v>4.75</v>
      </c>
      <c r="AH416" s="60">
        <f t="shared" si="331"/>
        <v>4.75</v>
      </c>
      <c r="AI416" s="60">
        <f t="shared" si="331"/>
        <v>4.75</v>
      </c>
      <c r="AJ416" s="60">
        <f t="shared" si="331"/>
        <v>4.75</v>
      </c>
      <c r="AK416" s="60">
        <f t="shared" si="331"/>
        <v>4.75</v>
      </c>
    </row>
    <row r="417" spans="2:37" x14ac:dyDescent="0.2">
      <c r="C417" s="48" t="s">
        <v>213</v>
      </c>
      <c r="D417" s="50" t="s">
        <v>183</v>
      </c>
      <c r="F417" s="32">
        <f>SUM(H417:AK417)</f>
        <v>212695.95412455531</v>
      </c>
      <c r="H417" s="32">
        <f>K386</f>
        <v>3853.187574720203</v>
      </c>
      <c r="I417" s="32">
        <f>K394</f>
        <v>5009.1438471362653</v>
      </c>
      <c r="J417" s="32">
        <f>K402</f>
        <v>6165.1001195523259</v>
      </c>
      <c r="K417" s="32">
        <f>K410</f>
        <v>7321.0563919683846</v>
      </c>
      <c r="L417" s="32">
        <f>K417</f>
        <v>7321.0563919683846</v>
      </c>
      <c r="M417" s="32">
        <f t="shared" ref="M417:AK417" si="332">L417</f>
        <v>7321.0563919683846</v>
      </c>
      <c r="N417" s="32">
        <f t="shared" si="332"/>
        <v>7321.0563919683846</v>
      </c>
      <c r="O417" s="32">
        <f t="shared" si="332"/>
        <v>7321.0563919683846</v>
      </c>
      <c r="P417" s="32">
        <f t="shared" si="332"/>
        <v>7321.0563919683846</v>
      </c>
      <c r="Q417" s="32">
        <f t="shared" si="332"/>
        <v>7321.0563919683846</v>
      </c>
      <c r="R417" s="32">
        <f t="shared" si="332"/>
        <v>7321.0563919683846</v>
      </c>
      <c r="S417" s="32">
        <f t="shared" si="332"/>
        <v>7321.0563919683846</v>
      </c>
      <c r="T417" s="32">
        <f t="shared" si="332"/>
        <v>7321.0563919683846</v>
      </c>
      <c r="U417" s="32">
        <f t="shared" si="332"/>
        <v>7321.0563919683846</v>
      </c>
      <c r="V417" s="32">
        <f t="shared" si="332"/>
        <v>7321.0563919683846</v>
      </c>
      <c r="W417" s="32">
        <f t="shared" si="332"/>
        <v>7321.0563919683846</v>
      </c>
      <c r="X417" s="32">
        <f t="shared" si="332"/>
        <v>7321.0563919683846</v>
      </c>
      <c r="Y417" s="32">
        <f t="shared" si="332"/>
        <v>7321.0563919683846</v>
      </c>
      <c r="Z417" s="32">
        <f t="shared" si="332"/>
        <v>7321.0563919683846</v>
      </c>
      <c r="AA417" s="32">
        <f t="shared" si="332"/>
        <v>7321.0563919683846</v>
      </c>
      <c r="AB417" s="32">
        <f t="shared" si="332"/>
        <v>7321.0563919683846</v>
      </c>
      <c r="AC417" s="32">
        <f t="shared" si="332"/>
        <v>7321.0563919683846</v>
      </c>
      <c r="AD417" s="32">
        <f t="shared" si="332"/>
        <v>7321.0563919683846</v>
      </c>
      <c r="AE417" s="32">
        <f t="shared" si="332"/>
        <v>7321.0563919683846</v>
      </c>
      <c r="AF417" s="32">
        <f t="shared" si="332"/>
        <v>7321.0563919683846</v>
      </c>
      <c r="AG417" s="32">
        <f t="shared" si="332"/>
        <v>7321.0563919683846</v>
      </c>
      <c r="AH417" s="32">
        <f t="shared" si="332"/>
        <v>7321.0563919683846</v>
      </c>
      <c r="AI417" s="32">
        <f t="shared" si="332"/>
        <v>7321.0563919683846</v>
      </c>
      <c r="AJ417" s="32">
        <f t="shared" si="332"/>
        <v>7321.0563919683846</v>
      </c>
      <c r="AK417" s="32">
        <f t="shared" si="332"/>
        <v>7321.0563919683846</v>
      </c>
    </row>
    <row r="418" spans="2:37" x14ac:dyDescent="0.2">
      <c r="C418" s="183"/>
      <c r="F418" s="32">
        <f>SUM(H418:AK418)</f>
        <v>90568.408870417465</v>
      </c>
      <c r="G418" s="182">
        <v>7.0000000000000007E-2</v>
      </c>
      <c r="H418" s="32">
        <f t="shared" ref="H418:AK418" si="333">H417/((1+Discount_1)^(H413-$H$413))</f>
        <v>3853.187574720203</v>
      </c>
      <c r="I418" s="32">
        <f t="shared" si="333"/>
        <v>4681.4428477909023</v>
      </c>
      <c r="J418" s="32">
        <f t="shared" si="333"/>
        <v>5384.8372080988083</v>
      </c>
      <c r="K418" s="32">
        <f t="shared" si="333"/>
        <v>5976.1627893619925</v>
      </c>
      <c r="L418" s="32">
        <f t="shared" si="333"/>
        <v>5585.1988685626111</v>
      </c>
      <c r="M418" s="32">
        <f t="shared" si="333"/>
        <v>5219.8120266940277</v>
      </c>
      <c r="N418" s="32">
        <f t="shared" si="333"/>
        <v>4878.3289969103071</v>
      </c>
      <c r="O418" s="32">
        <f t="shared" si="333"/>
        <v>4559.1859784208473</v>
      </c>
      <c r="P418" s="32">
        <f t="shared" si="333"/>
        <v>4260.921475159671</v>
      </c>
      <c r="Q418" s="32">
        <f t="shared" si="333"/>
        <v>3982.1696029529626</v>
      </c>
      <c r="R418" s="32">
        <f t="shared" si="333"/>
        <v>3721.6538345354793</v>
      </c>
      <c r="S418" s="32">
        <f t="shared" si="333"/>
        <v>3478.1811537714757</v>
      </c>
      <c r="T418" s="32">
        <f t="shared" si="333"/>
        <v>3250.636592309791</v>
      </c>
      <c r="U418" s="32">
        <f t="shared" si="333"/>
        <v>3037.9781236540098</v>
      </c>
      <c r="V418" s="32">
        <f t="shared" si="333"/>
        <v>2839.23189126543</v>
      </c>
      <c r="W418" s="32">
        <f t="shared" si="333"/>
        <v>2653.4877488461962</v>
      </c>
      <c r="X418" s="32">
        <f t="shared" si="333"/>
        <v>2479.8950923796228</v>
      </c>
      <c r="Y418" s="32">
        <f t="shared" si="333"/>
        <v>2317.6589648407689</v>
      </c>
      <c r="Z418" s="32">
        <f t="shared" si="333"/>
        <v>2166.0364157390363</v>
      </c>
      <c r="AA418" s="32">
        <f t="shared" si="333"/>
        <v>2024.3330988215291</v>
      </c>
      <c r="AB418" s="32">
        <f t="shared" si="333"/>
        <v>1891.9000923565693</v>
      </c>
      <c r="AC418" s="32">
        <f t="shared" si="333"/>
        <v>1768.130927436046</v>
      </c>
      <c r="AD418" s="32">
        <f t="shared" si="333"/>
        <v>1652.4588106878934</v>
      </c>
      <c r="AE418" s="32">
        <f t="shared" si="333"/>
        <v>1544.3540286802743</v>
      </c>
      <c r="AF418" s="32">
        <f t="shared" si="333"/>
        <v>1443.3215221310975</v>
      </c>
      <c r="AG418" s="32">
        <f t="shared" si="333"/>
        <v>1348.8986188141096</v>
      </c>
      <c r="AH418" s="32">
        <f t="shared" si="333"/>
        <v>1260.6529147795418</v>
      </c>
      <c r="AI418" s="32">
        <f t="shared" si="333"/>
        <v>1178.1802941864876</v>
      </c>
      <c r="AJ418" s="32">
        <f t="shared" si="333"/>
        <v>1101.1030786789604</v>
      </c>
      <c r="AK418" s="32">
        <f t="shared" si="333"/>
        <v>1029.0682978308041</v>
      </c>
    </row>
    <row r="419" spans="2:37" x14ac:dyDescent="0.2">
      <c r="C419" s="183"/>
      <c r="F419" s="32">
        <f>SUM(H419:AK419)</f>
        <v>140998.77076273548</v>
      </c>
      <c r="G419" s="182">
        <v>0.03</v>
      </c>
      <c r="H419" s="32">
        <f t="shared" ref="H419:AK419" si="334">H417/((1+Discount_2)^(H413-$H$413))</f>
        <v>3853.187574720203</v>
      </c>
      <c r="I419" s="32">
        <f t="shared" si="334"/>
        <v>4863.2464535303543</v>
      </c>
      <c r="J419" s="32">
        <f t="shared" si="334"/>
        <v>5811.1981520900426</v>
      </c>
      <c r="K419" s="32">
        <f t="shared" si="334"/>
        <v>6699.803694764003</v>
      </c>
      <c r="L419" s="32">
        <f t="shared" si="334"/>
        <v>6504.6637813242751</v>
      </c>
      <c r="M419" s="32">
        <f t="shared" si="334"/>
        <v>6315.2075546837623</v>
      </c>
      <c r="N419" s="32">
        <f t="shared" si="334"/>
        <v>6131.2694705667591</v>
      </c>
      <c r="O419" s="32">
        <f t="shared" si="334"/>
        <v>5952.6888063754941</v>
      </c>
      <c r="P419" s="32">
        <f t="shared" si="334"/>
        <v>5779.3095207529077</v>
      </c>
      <c r="Q419" s="32">
        <f t="shared" si="334"/>
        <v>5610.9801172358329</v>
      </c>
      <c r="R419" s="32">
        <f t="shared" si="334"/>
        <v>5447.5535118794487</v>
      </c>
      <c r="S419" s="32">
        <f t="shared" si="334"/>
        <v>5288.8869047373291</v>
      </c>
      <c r="T419" s="32">
        <f t="shared" si="334"/>
        <v>5134.841655084786</v>
      </c>
      <c r="U419" s="32">
        <f t="shared" si="334"/>
        <v>4985.2831602764918</v>
      </c>
      <c r="V419" s="32">
        <f t="shared" si="334"/>
        <v>4840.0807381325158</v>
      </c>
      <c r="W419" s="32">
        <f t="shared" si="334"/>
        <v>4699.1075127500153</v>
      </c>
      <c r="X419" s="32">
        <f t="shared" si="334"/>
        <v>4562.2403036407923</v>
      </c>
      <c r="Y419" s="32">
        <f t="shared" si="334"/>
        <v>4429.3595180978564</v>
      </c>
      <c r="Z419" s="32">
        <f t="shared" si="334"/>
        <v>4300.3490466969479</v>
      </c>
      <c r="AA419" s="32">
        <f t="shared" si="334"/>
        <v>4175.0961618416968</v>
      </c>
      <c r="AB419" s="32">
        <f t="shared" si="334"/>
        <v>4053.4914192637834</v>
      </c>
      <c r="AC419" s="32">
        <f t="shared" si="334"/>
        <v>3935.4285623920237</v>
      </c>
      <c r="AD419" s="32">
        <f t="shared" si="334"/>
        <v>3820.8044295068185</v>
      </c>
      <c r="AE419" s="32">
        <f t="shared" si="334"/>
        <v>3709.5188635988529</v>
      </c>
      <c r="AF419" s="32">
        <f t="shared" si="334"/>
        <v>3601.4746248532556</v>
      </c>
      <c r="AG419" s="32">
        <f t="shared" si="334"/>
        <v>3496.5773056827725</v>
      </c>
      <c r="AH419" s="32">
        <f t="shared" si="334"/>
        <v>3394.735248235701</v>
      </c>
      <c r="AI419" s="32">
        <f t="shared" si="334"/>
        <v>3295.8594643065062</v>
      </c>
      <c r="AJ419" s="32">
        <f t="shared" si="334"/>
        <v>3199.8635575791322</v>
      </c>
      <c r="AK419" s="32">
        <f t="shared" si="334"/>
        <v>3106.6636481350802</v>
      </c>
    </row>
    <row r="421" spans="2:37" x14ac:dyDescent="0.2">
      <c r="H421" s="2" t="s">
        <v>214</v>
      </c>
    </row>
    <row r="422" spans="2:37" x14ac:dyDescent="0.2">
      <c r="C422" s="48" t="s">
        <v>160</v>
      </c>
      <c r="D422" s="2" t="s">
        <v>183</v>
      </c>
      <c r="H422" s="15">
        <f>Start_Year</f>
        <v>2015</v>
      </c>
      <c r="I422" s="15">
        <f>H422+1</f>
        <v>2016</v>
      </c>
      <c r="J422" s="15">
        <f t="shared" ref="J422:AK422" si="335">I422+1</f>
        <v>2017</v>
      </c>
      <c r="K422" s="15">
        <f t="shared" si="335"/>
        <v>2018</v>
      </c>
      <c r="L422" s="15">
        <f t="shared" si="335"/>
        <v>2019</v>
      </c>
      <c r="M422" s="15">
        <f t="shared" si="335"/>
        <v>2020</v>
      </c>
      <c r="N422" s="15">
        <f t="shared" si="335"/>
        <v>2021</v>
      </c>
      <c r="O422" s="15">
        <f t="shared" si="335"/>
        <v>2022</v>
      </c>
      <c r="P422" s="15">
        <f t="shared" si="335"/>
        <v>2023</v>
      </c>
      <c r="Q422" s="15">
        <f t="shared" si="335"/>
        <v>2024</v>
      </c>
      <c r="R422" s="15">
        <f t="shared" si="335"/>
        <v>2025</v>
      </c>
      <c r="S422" s="15">
        <f t="shared" si="335"/>
        <v>2026</v>
      </c>
      <c r="T422" s="15">
        <f t="shared" si="335"/>
        <v>2027</v>
      </c>
      <c r="U422" s="15">
        <f t="shared" si="335"/>
        <v>2028</v>
      </c>
      <c r="V422" s="15">
        <f t="shared" si="335"/>
        <v>2029</v>
      </c>
      <c r="W422" s="15">
        <f t="shared" si="335"/>
        <v>2030</v>
      </c>
      <c r="X422" s="15">
        <f t="shared" si="335"/>
        <v>2031</v>
      </c>
      <c r="Y422" s="15">
        <f t="shared" si="335"/>
        <v>2032</v>
      </c>
      <c r="Z422" s="15">
        <f t="shared" si="335"/>
        <v>2033</v>
      </c>
      <c r="AA422" s="15">
        <f t="shared" si="335"/>
        <v>2034</v>
      </c>
      <c r="AB422" s="15">
        <f t="shared" si="335"/>
        <v>2035</v>
      </c>
      <c r="AC422" s="15">
        <f t="shared" si="335"/>
        <v>2036</v>
      </c>
      <c r="AD422" s="15">
        <f t="shared" si="335"/>
        <v>2037</v>
      </c>
      <c r="AE422" s="15">
        <f t="shared" si="335"/>
        <v>2038</v>
      </c>
      <c r="AF422" s="15">
        <f t="shared" si="335"/>
        <v>2039</v>
      </c>
      <c r="AG422" s="15">
        <f t="shared" si="335"/>
        <v>2040</v>
      </c>
      <c r="AH422" s="15">
        <f t="shared" si="335"/>
        <v>2041</v>
      </c>
      <c r="AI422" s="15">
        <f t="shared" si="335"/>
        <v>2042</v>
      </c>
      <c r="AJ422" s="15">
        <f t="shared" si="335"/>
        <v>2043</v>
      </c>
      <c r="AK422" s="15">
        <f t="shared" si="335"/>
        <v>2044</v>
      </c>
    </row>
    <row r="423" spans="2:37" x14ac:dyDescent="0.2">
      <c r="C423" s="48" t="s">
        <v>161</v>
      </c>
      <c r="D423" s="50" t="s">
        <v>183</v>
      </c>
      <c r="H423" s="59">
        <f t="shared" ref="H423:Q424" si="336">J343</f>
        <v>18</v>
      </c>
      <c r="I423" s="59">
        <f t="shared" si="336"/>
        <v>40</v>
      </c>
      <c r="J423" s="59">
        <f t="shared" si="336"/>
        <v>40</v>
      </c>
      <c r="K423" s="59">
        <f t="shared" si="336"/>
        <v>40</v>
      </c>
      <c r="L423" s="59">
        <f t="shared" si="336"/>
        <v>40</v>
      </c>
      <c r="M423" s="59">
        <f t="shared" si="336"/>
        <v>40</v>
      </c>
      <c r="N423" s="59">
        <f t="shared" si="336"/>
        <v>40</v>
      </c>
      <c r="O423" s="59">
        <f t="shared" si="336"/>
        <v>40</v>
      </c>
      <c r="P423" s="59">
        <f t="shared" si="336"/>
        <v>40</v>
      </c>
      <c r="Q423" s="59">
        <f t="shared" si="336"/>
        <v>40</v>
      </c>
      <c r="R423" s="59">
        <f t="shared" ref="R423:AA424" si="337">T343</f>
        <v>40</v>
      </c>
      <c r="S423" s="59">
        <f t="shared" si="337"/>
        <v>40</v>
      </c>
      <c r="T423" s="59">
        <f t="shared" si="337"/>
        <v>40</v>
      </c>
      <c r="U423" s="59">
        <f t="shared" si="337"/>
        <v>40</v>
      </c>
      <c r="V423" s="59">
        <f t="shared" si="337"/>
        <v>40</v>
      </c>
      <c r="W423" s="59">
        <f t="shared" si="337"/>
        <v>40</v>
      </c>
      <c r="X423" s="59">
        <f t="shared" si="337"/>
        <v>40</v>
      </c>
      <c r="Y423" s="59">
        <f t="shared" si="337"/>
        <v>40</v>
      </c>
      <c r="Z423" s="59">
        <f t="shared" si="337"/>
        <v>40</v>
      </c>
      <c r="AA423" s="59">
        <f t="shared" si="337"/>
        <v>40</v>
      </c>
      <c r="AB423" s="59">
        <f t="shared" ref="AB423:AK424" si="338">AD343</f>
        <v>40</v>
      </c>
      <c r="AC423" s="59">
        <f t="shared" si="338"/>
        <v>40</v>
      </c>
      <c r="AD423" s="59">
        <f t="shared" si="338"/>
        <v>40</v>
      </c>
      <c r="AE423" s="59">
        <f t="shared" si="338"/>
        <v>40</v>
      </c>
      <c r="AF423" s="59">
        <f t="shared" si="338"/>
        <v>40</v>
      </c>
      <c r="AG423" s="59">
        <f t="shared" si="338"/>
        <v>40</v>
      </c>
      <c r="AH423" s="59">
        <f t="shared" si="338"/>
        <v>40</v>
      </c>
      <c r="AI423" s="59">
        <f t="shared" si="338"/>
        <v>40</v>
      </c>
      <c r="AJ423" s="59">
        <f t="shared" si="338"/>
        <v>40</v>
      </c>
      <c r="AK423" s="59">
        <f t="shared" si="338"/>
        <v>40</v>
      </c>
    </row>
    <row r="424" spans="2:37" x14ac:dyDescent="0.2">
      <c r="C424" s="48" t="s">
        <v>162</v>
      </c>
      <c r="D424" s="50" t="s">
        <v>183</v>
      </c>
      <c r="H424" s="59">
        <f t="shared" si="336"/>
        <v>21</v>
      </c>
      <c r="I424" s="59">
        <f t="shared" si="336"/>
        <v>22</v>
      </c>
      <c r="J424" s="59">
        <f t="shared" si="336"/>
        <v>23</v>
      </c>
      <c r="K424" s="59">
        <f t="shared" si="336"/>
        <v>24</v>
      </c>
      <c r="L424" s="59">
        <f t="shared" si="336"/>
        <v>25</v>
      </c>
      <c r="M424" s="59">
        <f t="shared" si="336"/>
        <v>26</v>
      </c>
      <c r="N424" s="59">
        <f t="shared" si="336"/>
        <v>27</v>
      </c>
      <c r="O424" s="59">
        <f t="shared" si="336"/>
        <v>28</v>
      </c>
      <c r="P424" s="59">
        <f t="shared" si="336"/>
        <v>29</v>
      </c>
      <c r="Q424" s="59">
        <f t="shared" si="336"/>
        <v>30</v>
      </c>
      <c r="R424" s="59">
        <f t="shared" si="337"/>
        <v>31</v>
      </c>
      <c r="S424" s="59">
        <f t="shared" si="337"/>
        <v>32</v>
      </c>
      <c r="T424" s="59">
        <f t="shared" si="337"/>
        <v>33</v>
      </c>
      <c r="U424" s="59">
        <f t="shared" si="337"/>
        <v>34</v>
      </c>
      <c r="V424" s="59">
        <f t="shared" si="337"/>
        <v>35</v>
      </c>
      <c r="W424" s="59">
        <f t="shared" si="337"/>
        <v>36</v>
      </c>
      <c r="X424" s="59">
        <f t="shared" si="337"/>
        <v>37</v>
      </c>
      <c r="Y424" s="59">
        <f t="shared" si="337"/>
        <v>38</v>
      </c>
      <c r="Z424" s="59">
        <f t="shared" si="337"/>
        <v>39</v>
      </c>
      <c r="AA424" s="59">
        <f t="shared" si="337"/>
        <v>40</v>
      </c>
      <c r="AB424" s="59">
        <f t="shared" si="338"/>
        <v>40</v>
      </c>
      <c r="AC424" s="59">
        <f t="shared" si="338"/>
        <v>40</v>
      </c>
      <c r="AD424" s="59">
        <f t="shared" si="338"/>
        <v>40</v>
      </c>
      <c r="AE424" s="59">
        <f t="shared" si="338"/>
        <v>40</v>
      </c>
      <c r="AF424" s="59">
        <f t="shared" si="338"/>
        <v>40</v>
      </c>
      <c r="AG424" s="59">
        <f t="shared" si="338"/>
        <v>40</v>
      </c>
      <c r="AH424" s="59">
        <f t="shared" si="338"/>
        <v>40</v>
      </c>
      <c r="AI424" s="59">
        <f t="shared" si="338"/>
        <v>40</v>
      </c>
      <c r="AJ424" s="59">
        <f t="shared" si="338"/>
        <v>40</v>
      </c>
      <c r="AK424" s="59">
        <f t="shared" si="338"/>
        <v>40</v>
      </c>
    </row>
    <row r="425" spans="2:37" x14ac:dyDescent="0.2">
      <c r="C425" s="48" t="s">
        <v>178</v>
      </c>
      <c r="D425" s="50" t="s">
        <v>183</v>
      </c>
      <c r="F425" s="2" t="s">
        <v>145</v>
      </c>
      <c r="H425" s="60">
        <f t="shared" ref="H425:AK425" si="339">J347</f>
        <v>2.5</v>
      </c>
      <c r="I425" s="60">
        <f t="shared" si="339"/>
        <v>0</v>
      </c>
      <c r="J425" s="60">
        <f t="shared" si="339"/>
        <v>0</v>
      </c>
      <c r="K425" s="60">
        <f t="shared" si="339"/>
        <v>0</v>
      </c>
      <c r="L425" s="60">
        <f t="shared" si="339"/>
        <v>0</v>
      </c>
      <c r="M425" s="60">
        <f t="shared" si="339"/>
        <v>0</v>
      </c>
      <c r="N425" s="60">
        <f t="shared" si="339"/>
        <v>0</v>
      </c>
      <c r="O425" s="60">
        <f t="shared" si="339"/>
        <v>0</v>
      </c>
      <c r="P425" s="60">
        <f t="shared" si="339"/>
        <v>0</v>
      </c>
      <c r="Q425" s="60">
        <f t="shared" si="339"/>
        <v>0</v>
      </c>
      <c r="R425" s="60">
        <f t="shared" si="339"/>
        <v>0</v>
      </c>
      <c r="S425" s="60">
        <f t="shared" si="339"/>
        <v>0</v>
      </c>
      <c r="T425" s="60">
        <f t="shared" si="339"/>
        <v>0</v>
      </c>
      <c r="U425" s="60">
        <f t="shared" si="339"/>
        <v>0</v>
      </c>
      <c r="V425" s="60">
        <f t="shared" si="339"/>
        <v>0</v>
      </c>
      <c r="W425" s="60">
        <f t="shared" si="339"/>
        <v>0</v>
      </c>
      <c r="X425" s="60">
        <f t="shared" si="339"/>
        <v>0</v>
      </c>
      <c r="Y425" s="60">
        <f t="shared" si="339"/>
        <v>0</v>
      </c>
      <c r="Z425" s="60">
        <f t="shared" si="339"/>
        <v>0</v>
      </c>
      <c r="AA425" s="60">
        <f t="shared" si="339"/>
        <v>0</v>
      </c>
      <c r="AB425" s="60">
        <f t="shared" si="339"/>
        <v>0</v>
      </c>
      <c r="AC425" s="60">
        <f t="shared" si="339"/>
        <v>0</v>
      </c>
      <c r="AD425" s="60">
        <f t="shared" si="339"/>
        <v>0</v>
      </c>
      <c r="AE425" s="60">
        <f t="shared" si="339"/>
        <v>0</v>
      </c>
      <c r="AF425" s="60">
        <f t="shared" si="339"/>
        <v>0</v>
      </c>
      <c r="AG425" s="60">
        <f t="shared" si="339"/>
        <v>0</v>
      </c>
      <c r="AH425" s="60">
        <f t="shared" si="339"/>
        <v>0</v>
      </c>
      <c r="AI425" s="60">
        <f t="shared" si="339"/>
        <v>0</v>
      </c>
      <c r="AJ425" s="60">
        <f t="shared" si="339"/>
        <v>0</v>
      </c>
      <c r="AK425" s="60">
        <f t="shared" si="339"/>
        <v>0</v>
      </c>
    </row>
    <row r="426" spans="2:37" x14ac:dyDescent="0.2">
      <c r="C426" s="48" t="s">
        <v>213</v>
      </c>
      <c r="D426" s="50" t="s">
        <v>183</v>
      </c>
      <c r="F426" s="32">
        <f>SUM(H426:AK426)</f>
        <v>3853.187574720203</v>
      </c>
      <c r="H426" s="32">
        <f>K386</f>
        <v>3853.187574720203</v>
      </c>
      <c r="I426" s="184">
        <v>0</v>
      </c>
      <c r="J426" s="184">
        <f>I426</f>
        <v>0</v>
      </c>
      <c r="K426" s="184">
        <f t="shared" ref="K426:AK426" si="340">J426</f>
        <v>0</v>
      </c>
      <c r="L426" s="184">
        <f t="shared" si="340"/>
        <v>0</v>
      </c>
      <c r="M426" s="184">
        <f t="shared" si="340"/>
        <v>0</v>
      </c>
      <c r="N426" s="184">
        <f t="shared" si="340"/>
        <v>0</v>
      </c>
      <c r="O426" s="184">
        <f t="shared" si="340"/>
        <v>0</v>
      </c>
      <c r="P426" s="184">
        <f t="shared" si="340"/>
        <v>0</v>
      </c>
      <c r="Q426" s="184">
        <f t="shared" si="340"/>
        <v>0</v>
      </c>
      <c r="R426" s="184">
        <f t="shared" si="340"/>
        <v>0</v>
      </c>
      <c r="S426" s="184">
        <f t="shared" si="340"/>
        <v>0</v>
      </c>
      <c r="T426" s="184">
        <f t="shared" si="340"/>
        <v>0</v>
      </c>
      <c r="U426" s="184">
        <f t="shared" si="340"/>
        <v>0</v>
      </c>
      <c r="V426" s="184">
        <f t="shared" si="340"/>
        <v>0</v>
      </c>
      <c r="W426" s="184">
        <f t="shared" si="340"/>
        <v>0</v>
      </c>
      <c r="X426" s="184">
        <f t="shared" si="340"/>
        <v>0</v>
      </c>
      <c r="Y426" s="184">
        <f t="shared" si="340"/>
        <v>0</v>
      </c>
      <c r="Z426" s="184">
        <f t="shared" si="340"/>
        <v>0</v>
      </c>
      <c r="AA426" s="184">
        <f t="shared" si="340"/>
        <v>0</v>
      </c>
      <c r="AB426" s="184">
        <f t="shared" si="340"/>
        <v>0</v>
      </c>
      <c r="AC426" s="184">
        <f t="shared" si="340"/>
        <v>0</v>
      </c>
      <c r="AD426" s="184">
        <f t="shared" si="340"/>
        <v>0</v>
      </c>
      <c r="AE426" s="184">
        <f t="shared" si="340"/>
        <v>0</v>
      </c>
      <c r="AF426" s="184">
        <f t="shared" si="340"/>
        <v>0</v>
      </c>
      <c r="AG426" s="184">
        <f t="shared" si="340"/>
        <v>0</v>
      </c>
      <c r="AH426" s="184">
        <f t="shared" si="340"/>
        <v>0</v>
      </c>
      <c r="AI426" s="184">
        <f t="shared" si="340"/>
        <v>0</v>
      </c>
      <c r="AJ426" s="184">
        <f t="shared" si="340"/>
        <v>0</v>
      </c>
      <c r="AK426" s="184">
        <f t="shared" si="340"/>
        <v>0</v>
      </c>
    </row>
    <row r="428" spans="2:37" x14ac:dyDescent="0.2">
      <c r="H428" s="2" t="s">
        <v>184</v>
      </c>
    </row>
    <row r="429" spans="2:37" x14ac:dyDescent="0.2">
      <c r="F429" s="2" t="s">
        <v>145</v>
      </c>
      <c r="H429" s="15">
        <f>Start_Year</f>
        <v>2015</v>
      </c>
      <c r="I429" s="15">
        <f>H429+1</f>
        <v>2016</v>
      </c>
      <c r="J429" s="15">
        <f t="shared" ref="J429:AK429" si="341">I429+1</f>
        <v>2017</v>
      </c>
      <c r="K429" s="15">
        <f t="shared" si="341"/>
        <v>2018</v>
      </c>
      <c r="L429" s="15">
        <f t="shared" si="341"/>
        <v>2019</v>
      </c>
      <c r="M429" s="15">
        <f t="shared" si="341"/>
        <v>2020</v>
      </c>
      <c r="N429" s="15">
        <f t="shared" si="341"/>
        <v>2021</v>
      </c>
      <c r="O429" s="15">
        <f t="shared" si="341"/>
        <v>2022</v>
      </c>
      <c r="P429" s="15">
        <f t="shared" si="341"/>
        <v>2023</v>
      </c>
      <c r="Q429" s="15">
        <f t="shared" si="341"/>
        <v>2024</v>
      </c>
      <c r="R429" s="15">
        <f t="shared" si="341"/>
        <v>2025</v>
      </c>
      <c r="S429" s="15">
        <f t="shared" si="341"/>
        <v>2026</v>
      </c>
      <c r="T429" s="15">
        <f t="shared" si="341"/>
        <v>2027</v>
      </c>
      <c r="U429" s="15">
        <f t="shared" si="341"/>
        <v>2028</v>
      </c>
      <c r="V429" s="15">
        <f t="shared" si="341"/>
        <v>2029</v>
      </c>
      <c r="W429" s="15">
        <f t="shared" si="341"/>
        <v>2030</v>
      </c>
      <c r="X429" s="15">
        <f t="shared" si="341"/>
        <v>2031</v>
      </c>
      <c r="Y429" s="15">
        <f t="shared" si="341"/>
        <v>2032</v>
      </c>
      <c r="Z429" s="15">
        <f t="shared" si="341"/>
        <v>2033</v>
      </c>
      <c r="AA429" s="15">
        <f t="shared" si="341"/>
        <v>2034</v>
      </c>
      <c r="AB429" s="15">
        <f t="shared" si="341"/>
        <v>2035</v>
      </c>
      <c r="AC429" s="15">
        <f t="shared" si="341"/>
        <v>2036</v>
      </c>
      <c r="AD429" s="15">
        <f t="shared" si="341"/>
        <v>2037</v>
      </c>
      <c r="AE429" s="15">
        <f t="shared" si="341"/>
        <v>2038</v>
      </c>
      <c r="AF429" s="15">
        <f t="shared" si="341"/>
        <v>2039</v>
      </c>
      <c r="AG429" s="15">
        <f t="shared" si="341"/>
        <v>2040</v>
      </c>
      <c r="AH429" s="15">
        <f t="shared" si="341"/>
        <v>2041</v>
      </c>
      <c r="AI429" s="15">
        <f t="shared" si="341"/>
        <v>2042</v>
      </c>
      <c r="AJ429" s="15">
        <f t="shared" si="341"/>
        <v>2043</v>
      </c>
      <c r="AK429" s="15">
        <f t="shared" si="341"/>
        <v>2044</v>
      </c>
    </row>
    <row r="430" spans="2:37" x14ac:dyDescent="0.2">
      <c r="F430" s="32">
        <f>SUM(H431:AK431)</f>
        <v>0</v>
      </c>
      <c r="H430" s="32">
        <f>H417-H426</f>
        <v>0</v>
      </c>
      <c r="I430" s="32">
        <f t="shared" ref="I430:AK430" si="342">I417-I426</f>
        <v>5009.1438471362653</v>
      </c>
      <c r="J430" s="32">
        <f t="shared" si="342"/>
        <v>6165.1001195523259</v>
      </c>
      <c r="K430" s="32">
        <f t="shared" si="342"/>
        <v>7321.0563919683846</v>
      </c>
      <c r="L430" s="32">
        <f t="shared" si="342"/>
        <v>7321.0563919683846</v>
      </c>
      <c r="M430" s="32">
        <f t="shared" si="342"/>
        <v>7321.0563919683846</v>
      </c>
      <c r="N430" s="32">
        <f t="shared" si="342"/>
        <v>7321.0563919683846</v>
      </c>
      <c r="O430" s="32">
        <f t="shared" si="342"/>
        <v>7321.0563919683846</v>
      </c>
      <c r="P430" s="32">
        <f t="shared" si="342"/>
        <v>7321.0563919683846</v>
      </c>
      <c r="Q430" s="32">
        <f t="shared" si="342"/>
        <v>7321.0563919683846</v>
      </c>
      <c r="R430" s="32">
        <f t="shared" si="342"/>
        <v>7321.0563919683846</v>
      </c>
      <c r="S430" s="32">
        <f t="shared" si="342"/>
        <v>7321.0563919683846</v>
      </c>
      <c r="T430" s="32">
        <f t="shared" si="342"/>
        <v>7321.0563919683846</v>
      </c>
      <c r="U430" s="32">
        <f t="shared" si="342"/>
        <v>7321.0563919683846</v>
      </c>
      <c r="V430" s="32">
        <f t="shared" si="342"/>
        <v>7321.0563919683846</v>
      </c>
      <c r="W430" s="32">
        <f t="shared" si="342"/>
        <v>7321.0563919683846</v>
      </c>
      <c r="X430" s="32">
        <f t="shared" si="342"/>
        <v>7321.0563919683846</v>
      </c>
      <c r="Y430" s="32">
        <f t="shared" si="342"/>
        <v>7321.0563919683846</v>
      </c>
      <c r="Z430" s="32">
        <f t="shared" si="342"/>
        <v>7321.0563919683846</v>
      </c>
      <c r="AA430" s="32">
        <f t="shared" si="342"/>
        <v>7321.0563919683846</v>
      </c>
      <c r="AB430" s="32">
        <f t="shared" si="342"/>
        <v>7321.0563919683846</v>
      </c>
      <c r="AC430" s="32">
        <f t="shared" si="342"/>
        <v>7321.0563919683846</v>
      </c>
      <c r="AD430" s="32">
        <f t="shared" si="342"/>
        <v>7321.0563919683846</v>
      </c>
      <c r="AE430" s="32">
        <f t="shared" si="342"/>
        <v>7321.0563919683846</v>
      </c>
      <c r="AF430" s="32">
        <f t="shared" si="342"/>
        <v>7321.0563919683846</v>
      </c>
      <c r="AG430" s="32">
        <f t="shared" si="342"/>
        <v>7321.0563919683846</v>
      </c>
      <c r="AH430" s="32">
        <f t="shared" si="342"/>
        <v>7321.0563919683846</v>
      </c>
      <c r="AI430" s="32">
        <f t="shared" si="342"/>
        <v>7321.0563919683846</v>
      </c>
      <c r="AJ430" s="32">
        <f t="shared" si="342"/>
        <v>7321.0563919683846</v>
      </c>
      <c r="AK430" s="32">
        <f t="shared" si="342"/>
        <v>7321.0563919683846</v>
      </c>
    </row>
    <row r="432" spans="2:37" x14ac:dyDescent="0.2">
      <c r="B432" s="39" t="s">
        <v>218</v>
      </c>
    </row>
    <row r="434" spans="2:9" x14ac:dyDescent="0.2">
      <c r="B434" s="2" t="s">
        <v>210</v>
      </c>
    </row>
    <row r="435" spans="2:9" x14ac:dyDescent="0.2">
      <c r="B435" s="49"/>
      <c r="E435" s="50" t="s">
        <v>198</v>
      </c>
    </row>
    <row r="436" spans="2:9" ht="15" x14ac:dyDescent="0.25">
      <c r="B436" s="75" t="s">
        <v>227</v>
      </c>
      <c r="C436" s="75"/>
      <c r="D436" s="91">
        <v>0.24</v>
      </c>
      <c r="E436" s="92" t="s">
        <v>206</v>
      </c>
      <c r="F436" s="90"/>
      <c r="G436" s="90"/>
      <c r="H436" s="90"/>
      <c r="I436" s="90"/>
    </row>
    <row r="437" spans="2:9" ht="15" x14ac:dyDescent="0.25">
      <c r="B437" s="75" t="s">
        <v>228</v>
      </c>
      <c r="C437" s="75"/>
      <c r="D437" s="75"/>
      <c r="E437" s="75"/>
      <c r="F437" s="90"/>
      <c r="G437" s="90"/>
      <c r="H437" s="90"/>
      <c r="I437" s="11"/>
    </row>
    <row r="438" spans="2:9" ht="15" x14ac:dyDescent="0.25">
      <c r="B438" s="75" t="s">
        <v>221</v>
      </c>
      <c r="C438" s="75"/>
      <c r="D438" s="75"/>
      <c r="E438" s="75" t="s">
        <v>206</v>
      </c>
      <c r="F438" s="90"/>
      <c r="G438" s="90"/>
      <c r="H438" s="90"/>
      <c r="I438" s="11"/>
    </row>
    <row r="439" spans="2:9" ht="15" x14ac:dyDescent="0.25">
      <c r="B439" s="75" t="s">
        <v>222</v>
      </c>
      <c r="C439" s="75"/>
      <c r="D439" s="75"/>
      <c r="E439" s="75"/>
      <c r="F439" s="90"/>
      <c r="G439" s="90"/>
      <c r="H439" s="90"/>
      <c r="I439" s="90"/>
    </row>
    <row r="440" spans="2:9" ht="15" x14ac:dyDescent="0.25">
      <c r="B440" s="75" t="s">
        <v>229</v>
      </c>
      <c r="C440" s="75"/>
      <c r="D440" s="75"/>
      <c r="E440" s="75"/>
      <c r="F440" s="90"/>
      <c r="G440" s="90"/>
      <c r="H440" s="90"/>
      <c r="I440" s="90"/>
    </row>
    <row r="441" spans="2:9" ht="15" x14ac:dyDescent="0.25">
      <c r="B441" s="75"/>
      <c r="C441" s="75">
        <v>60</v>
      </c>
      <c r="D441" s="75" t="s">
        <v>223</v>
      </c>
      <c r="E441" s="75"/>
      <c r="F441" s="90"/>
      <c r="G441" s="90"/>
      <c r="H441" s="90"/>
      <c r="I441" s="90"/>
    </row>
    <row r="442" spans="2:9" ht="15" x14ac:dyDescent="0.25">
      <c r="B442" s="75"/>
      <c r="C442" s="75">
        <v>30</v>
      </c>
      <c r="D442" s="75" t="s">
        <v>224</v>
      </c>
      <c r="E442" s="75"/>
      <c r="F442" s="90"/>
      <c r="G442" s="90"/>
      <c r="H442" s="90"/>
      <c r="I442" s="90"/>
    </row>
    <row r="443" spans="2:9" ht="15" x14ac:dyDescent="0.25">
      <c r="B443" s="75"/>
      <c r="C443" s="93">
        <v>0.24</v>
      </c>
      <c r="D443" s="75" t="s">
        <v>225</v>
      </c>
      <c r="E443" s="75"/>
      <c r="F443" s="90"/>
      <c r="G443" s="90"/>
      <c r="H443" s="90"/>
      <c r="I443" s="90"/>
    </row>
    <row r="444" spans="2:9" ht="15" x14ac:dyDescent="0.25">
      <c r="B444" s="75" t="s">
        <v>226</v>
      </c>
      <c r="C444" s="75"/>
      <c r="D444" s="75"/>
      <c r="E444" s="75"/>
      <c r="F444" s="90"/>
      <c r="G444" s="90"/>
      <c r="H444" s="90"/>
      <c r="I444" s="90"/>
    </row>
    <row r="446" spans="2:9" ht="15" x14ac:dyDescent="0.25">
      <c r="B446" s="46" t="s">
        <v>231</v>
      </c>
      <c r="C446" s="46" t="s">
        <v>232</v>
      </c>
    </row>
    <row r="447" spans="2:9" ht="15" x14ac:dyDescent="0.25">
      <c r="B447" s="45" t="s">
        <v>238</v>
      </c>
      <c r="C447" s="45">
        <v>1.3194444444444443E-4</v>
      </c>
    </row>
    <row r="448" spans="2:9" ht="15" x14ac:dyDescent="0.25">
      <c r="B448" s="45" t="s">
        <v>239</v>
      </c>
      <c r="C448" s="45">
        <v>1.2798611111111108E-4</v>
      </c>
    </row>
    <row r="449" spans="2:9" ht="15" x14ac:dyDescent="0.25">
      <c r="B449" s="45" t="s">
        <v>201</v>
      </c>
      <c r="C449" s="45">
        <v>3.5416666666666669E-4</v>
      </c>
    </row>
    <row r="450" spans="2:9" ht="15" x14ac:dyDescent="0.25">
      <c r="B450" s="45" t="s">
        <v>202</v>
      </c>
      <c r="C450" s="45">
        <v>5.0694444444444441E-3</v>
      </c>
    </row>
    <row r="451" spans="2:9" ht="15" x14ac:dyDescent="0.25">
      <c r="B451" s="45" t="s">
        <v>203</v>
      </c>
      <c r="C451" s="45">
        <v>1.2708333333333332E-3</v>
      </c>
    </row>
    <row r="452" spans="2:9" ht="15" x14ac:dyDescent="0.25">
      <c r="B452" s="45" t="s">
        <v>196</v>
      </c>
      <c r="C452" s="45">
        <v>7.682803513888889E-6</v>
      </c>
    </row>
    <row r="453" spans="2:9" ht="15" x14ac:dyDescent="0.25">
      <c r="B453" s="45" t="s">
        <v>197</v>
      </c>
      <c r="C453" s="45">
        <v>0.83607441511574077</v>
      </c>
    </row>
    <row r="456" spans="2:9" x14ac:dyDescent="0.2">
      <c r="B456" s="2" t="s">
        <v>230</v>
      </c>
    </row>
    <row r="458" spans="2:9" ht="38.25" x14ac:dyDescent="0.2">
      <c r="B458" s="95" t="s">
        <v>231</v>
      </c>
      <c r="C458" s="95" t="s">
        <v>232</v>
      </c>
      <c r="D458" s="95" t="s">
        <v>233</v>
      </c>
      <c r="E458" s="95" t="s">
        <v>234</v>
      </c>
      <c r="F458" s="95" t="s">
        <v>235</v>
      </c>
      <c r="G458" s="95" t="s">
        <v>234</v>
      </c>
      <c r="H458" s="99" t="s">
        <v>236</v>
      </c>
      <c r="I458" s="99" t="s">
        <v>237</v>
      </c>
    </row>
    <row r="459" spans="2:9" x14ac:dyDescent="0.2">
      <c r="B459" s="92" t="s">
        <v>193</v>
      </c>
      <c r="C459" s="96">
        <f>C448+C447</f>
        <v>2.5993055555555551E-4</v>
      </c>
      <c r="D459" s="82">
        <v>0.89285700000000001</v>
      </c>
      <c r="E459" s="96">
        <f>C459*D459</f>
        <v>2.3208081604166663E-4</v>
      </c>
      <c r="F459" s="97">
        <v>1</v>
      </c>
      <c r="G459" s="105">
        <f>E459*F459</f>
        <v>2.3208081604166663E-4</v>
      </c>
      <c r="H459" s="100">
        <v>290000</v>
      </c>
      <c r="I459" s="98">
        <f>G459*H459</f>
        <v>67.30343665208332</v>
      </c>
    </row>
    <row r="460" spans="2:9" x14ac:dyDescent="0.2">
      <c r="B460" s="92" t="s">
        <v>195</v>
      </c>
      <c r="C460" s="96">
        <f>C450</f>
        <v>5.0694444444444441E-3</v>
      </c>
      <c r="D460" s="82">
        <v>0.89285700000000001</v>
      </c>
      <c r="E460" s="96">
        <f t="shared" ref="E460:E463" si="343">C460*D460</f>
        <v>4.5262889583333335E-3</v>
      </c>
      <c r="F460" s="97">
        <v>1</v>
      </c>
      <c r="G460" s="105">
        <f t="shared" ref="G460:G463" si="344">E460*F460</f>
        <v>4.5262889583333335E-3</v>
      </c>
      <c r="H460" s="100">
        <v>5300</v>
      </c>
      <c r="I460" s="98">
        <f t="shared" ref="I460:I463" si="345">G460*H460</f>
        <v>23.989331479166669</v>
      </c>
    </row>
    <row r="461" spans="2:9" x14ac:dyDescent="0.2">
      <c r="B461" s="92" t="s">
        <v>194</v>
      </c>
      <c r="C461" s="96">
        <f>C449</f>
        <v>3.5416666666666669E-4</v>
      </c>
      <c r="D461" s="82">
        <v>0.89285700000000001</v>
      </c>
      <c r="E461" s="96">
        <f t="shared" si="343"/>
        <v>3.1622018750000004E-4</v>
      </c>
      <c r="F461" s="97">
        <v>1</v>
      </c>
      <c r="G461" s="105">
        <f t="shared" si="344"/>
        <v>3.1622018750000004E-4</v>
      </c>
      <c r="H461" s="100">
        <v>1300</v>
      </c>
      <c r="I461" s="98">
        <f t="shared" si="345"/>
        <v>0.41108624375000008</v>
      </c>
    </row>
    <row r="462" spans="2:9" x14ac:dyDescent="0.2">
      <c r="B462" s="92" t="s">
        <v>197</v>
      </c>
      <c r="C462" s="96">
        <f>C451+C453</f>
        <v>0.8373452484490741</v>
      </c>
      <c r="D462" s="82">
        <v>0.89285700000000001</v>
      </c>
      <c r="E462" s="96">
        <f t="shared" si="343"/>
        <v>0.74762956649449497</v>
      </c>
      <c r="F462" s="97">
        <v>1</v>
      </c>
      <c r="G462" s="105">
        <f t="shared" si="344"/>
        <v>0.74762956649449497</v>
      </c>
      <c r="H462" s="101">
        <v>24.3</v>
      </c>
      <c r="I462" s="98">
        <f t="shared" si="345"/>
        <v>18.167398465816227</v>
      </c>
    </row>
    <row r="463" spans="2:9" x14ac:dyDescent="0.2">
      <c r="B463" s="92" t="s">
        <v>196</v>
      </c>
      <c r="C463" s="96">
        <f>C452</f>
        <v>7.682803513888889E-6</v>
      </c>
      <c r="D463" s="82">
        <v>0.89285700000000001</v>
      </c>
      <c r="E463" s="96">
        <f t="shared" si="343"/>
        <v>6.8596448970002914E-6</v>
      </c>
      <c r="F463" s="97">
        <v>1</v>
      </c>
      <c r="G463" s="105">
        <f t="shared" si="344"/>
        <v>6.8596448970002914E-6</v>
      </c>
      <c r="H463" s="100">
        <v>31000</v>
      </c>
      <c r="I463" s="98">
        <f t="shared" si="345"/>
        <v>0.21264899180700902</v>
      </c>
    </row>
    <row r="464" spans="2:9" x14ac:dyDescent="0.2">
      <c r="H464" s="51" t="s">
        <v>145</v>
      </c>
      <c r="I464" s="102">
        <f>SUM(I459:I463)</f>
        <v>110.08390183262324</v>
      </c>
    </row>
    <row r="466" spans="2:27" x14ac:dyDescent="0.2">
      <c r="B466" s="103" t="s">
        <v>240</v>
      </c>
    </row>
    <row r="468" spans="2:27" ht="38.25" x14ac:dyDescent="0.2">
      <c r="B468" s="99" t="s">
        <v>231</v>
      </c>
      <c r="C468" s="99" t="s">
        <v>232</v>
      </c>
      <c r="D468" s="99" t="s">
        <v>233</v>
      </c>
      <c r="E468" s="99" t="s">
        <v>234</v>
      </c>
      <c r="F468" s="99" t="s">
        <v>241</v>
      </c>
      <c r="G468" s="99" t="s">
        <v>242</v>
      </c>
      <c r="H468" s="99" t="s">
        <v>236</v>
      </c>
      <c r="I468" s="99" t="s">
        <v>237</v>
      </c>
    </row>
    <row r="469" spans="2:27" x14ac:dyDescent="0.2">
      <c r="B469" s="92" t="s">
        <v>193</v>
      </c>
      <c r="C469" s="104">
        <v>9.9999999999999991E-5</v>
      </c>
      <c r="D469" s="82">
        <v>0.89285700000000001</v>
      </c>
      <c r="E469" s="96">
        <f>C469*D469</f>
        <v>8.9285699999999991E-5</v>
      </c>
      <c r="F469" s="13">
        <v>1</v>
      </c>
      <c r="G469" s="96">
        <f>E469*F469</f>
        <v>8.9285699999999991E-5</v>
      </c>
      <c r="H469" s="100">
        <v>290000</v>
      </c>
      <c r="I469" s="102">
        <f>G469*H469</f>
        <v>25.892852999999999</v>
      </c>
    </row>
    <row r="470" spans="2:27" x14ac:dyDescent="0.2">
      <c r="B470" s="92" t="s">
        <v>195</v>
      </c>
      <c r="C470" s="104">
        <v>1.1560850000000001E-3</v>
      </c>
      <c r="D470" s="82">
        <v>0.89285700000000001</v>
      </c>
      <c r="E470" s="96">
        <f t="shared" ref="E470:E473" si="346">C470*D470</f>
        <v>1.032218584845E-3</v>
      </c>
      <c r="F470" s="13">
        <v>1</v>
      </c>
      <c r="G470" s="96">
        <f t="shared" ref="G470:G473" si="347">E470*F470</f>
        <v>1.032218584845E-3</v>
      </c>
      <c r="H470" s="100">
        <v>5300</v>
      </c>
      <c r="I470" s="102">
        <f t="shared" ref="I470:I473" si="348">G470*H470</f>
        <v>5.4707584996785004</v>
      </c>
    </row>
    <row r="471" spans="2:27" x14ac:dyDescent="0.2">
      <c r="B471" s="92" t="s">
        <v>194</v>
      </c>
      <c r="C471" s="104">
        <v>1.14899E-4</v>
      </c>
      <c r="D471" s="82">
        <v>0.89285700000000001</v>
      </c>
      <c r="E471" s="96">
        <f t="shared" si="346"/>
        <v>1.02588376443E-4</v>
      </c>
      <c r="F471" s="13">
        <v>1</v>
      </c>
      <c r="G471" s="96">
        <f t="shared" si="347"/>
        <v>1.02588376443E-4</v>
      </c>
      <c r="H471" s="100">
        <v>1300</v>
      </c>
      <c r="I471" s="102">
        <f t="shared" si="348"/>
        <v>0.13336488937589999</v>
      </c>
    </row>
    <row r="472" spans="2:27" x14ac:dyDescent="0.2">
      <c r="B472" s="92" t="s">
        <v>197</v>
      </c>
      <c r="C472" s="104">
        <v>0.11830510900000001</v>
      </c>
      <c r="D472" s="82">
        <v>0.89285700000000001</v>
      </c>
      <c r="E472" s="96">
        <f t="shared" si="346"/>
        <v>0.105629544706413</v>
      </c>
      <c r="F472" s="106">
        <v>1</v>
      </c>
      <c r="G472" s="96">
        <f t="shared" si="347"/>
        <v>0.105629544706413</v>
      </c>
      <c r="H472" s="101">
        <v>24.3</v>
      </c>
      <c r="I472" s="102">
        <f t="shared" si="348"/>
        <v>2.5667979363658362</v>
      </c>
    </row>
    <row r="473" spans="2:27" x14ac:dyDescent="0.2">
      <c r="B473" s="92" t="s">
        <v>196</v>
      </c>
      <c r="C473" s="104">
        <v>9.9999999999999995E-7</v>
      </c>
      <c r="D473" s="82">
        <v>0.89285700000000001</v>
      </c>
      <c r="E473" s="96">
        <f t="shared" si="346"/>
        <v>8.9285699999999993E-7</v>
      </c>
      <c r="F473" s="106">
        <v>1</v>
      </c>
      <c r="G473" s="96">
        <f t="shared" si="347"/>
        <v>8.9285699999999993E-7</v>
      </c>
      <c r="H473" s="100">
        <v>31000</v>
      </c>
      <c r="I473" s="102">
        <f t="shared" si="348"/>
        <v>2.7678566999999998E-2</v>
      </c>
    </row>
    <row r="474" spans="2:27" x14ac:dyDescent="0.2">
      <c r="H474" s="51" t="s">
        <v>145</v>
      </c>
      <c r="I474" s="102">
        <f>SUM(I469:I473)</f>
        <v>34.091452892420236</v>
      </c>
    </row>
    <row r="475" spans="2:27" x14ac:dyDescent="0.2">
      <c r="B475" s="103" t="s">
        <v>288</v>
      </c>
    </row>
    <row r="476" spans="2:27" ht="15" x14ac:dyDescent="0.25">
      <c r="C476" s="108"/>
      <c r="D476" s="108"/>
      <c r="E476" s="108"/>
      <c r="F476" s="108"/>
      <c r="G476" s="111" t="s">
        <v>243</v>
      </c>
      <c r="H476" s="108"/>
      <c r="I476" s="111" t="s">
        <v>244</v>
      </c>
      <c r="J476" s="108"/>
      <c r="K476" s="108"/>
      <c r="L476" s="108"/>
      <c r="M476" s="111" t="s">
        <v>244</v>
      </c>
      <c r="N476" s="108"/>
      <c r="O476" s="108"/>
      <c r="P476" s="108"/>
      <c r="Q476" s="111" t="s">
        <v>245</v>
      </c>
      <c r="R476" s="108"/>
      <c r="S476" s="111" t="s">
        <v>287</v>
      </c>
      <c r="T476" s="108"/>
      <c r="U476" s="111" t="s">
        <v>246</v>
      </c>
      <c r="V476" s="108"/>
      <c r="W476" s="107"/>
      <c r="X476" s="109" t="s">
        <v>247</v>
      </c>
    </row>
    <row r="477" spans="2:27" ht="15" x14ac:dyDescent="0.25">
      <c r="C477" s="111" t="s">
        <v>248</v>
      </c>
      <c r="D477" s="111" t="s">
        <v>249</v>
      </c>
      <c r="E477" s="111" t="s">
        <v>250</v>
      </c>
      <c r="F477" s="111" t="s">
        <v>251</v>
      </c>
      <c r="G477" s="114" t="s">
        <v>252</v>
      </c>
      <c r="H477" s="111" t="s">
        <v>253</v>
      </c>
      <c r="I477" s="114" t="s">
        <v>254</v>
      </c>
      <c r="J477" s="111" t="s">
        <v>255</v>
      </c>
      <c r="K477" s="112"/>
      <c r="L477" s="111" t="s">
        <v>256</v>
      </c>
      <c r="M477" s="111" t="s">
        <v>257</v>
      </c>
      <c r="N477" s="111" t="s">
        <v>258</v>
      </c>
      <c r="O477" s="111" t="s">
        <v>259</v>
      </c>
      <c r="P477" s="112"/>
      <c r="Q477" s="111" t="s">
        <v>260</v>
      </c>
      <c r="R477" s="111" t="s">
        <v>261</v>
      </c>
      <c r="S477" s="111" t="s">
        <v>262</v>
      </c>
      <c r="T477" s="111" t="s">
        <v>263</v>
      </c>
      <c r="U477" s="111" t="s">
        <v>264</v>
      </c>
      <c r="V477" s="111" t="s">
        <v>265</v>
      </c>
      <c r="W477" s="110"/>
      <c r="X477" s="109" t="s">
        <v>266</v>
      </c>
    </row>
    <row r="478" spans="2:27" ht="90" x14ac:dyDescent="0.25">
      <c r="B478" s="2" t="s">
        <v>286</v>
      </c>
      <c r="C478" s="80" t="s">
        <v>267</v>
      </c>
      <c r="D478" s="80" t="s">
        <v>160</v>
      </c>
      <c r="E478" s="80" t="s">
        <v>268</v>
      </c>
      <c r="F478" s="80" t="s">
        <v>269</v>
      </c>
      <c r="G478" s="80" t="s">
        <v>270</v>
      </c>
      <c r="H478" s="80" t="s">
        <v>271</v>
      </c>
      <c r="I478" s="80" t="s">
        <v>272</v>
      </c>
      <c r="J478" s="80" t="s">
        <v>273</v>
      </c>
      <c r="K478" s="113"/>
      <c r="L478" s="80" t="s">
        <v>274</v>
      </c>
      <c r="M478" s="80" t="s">
        <v>275</v>
      </c>
      <c r="N478" s="80" t="s">
        <v>276</v>
      </c>
      <c r="O478" s="80" t="s">
        <v>277</v>
      </c>
      <c r="P478" s="113"/>
      <c r="Q478" s="80" t="s">
        <v>278</v>
      </c>
      <c r="R478" s="80" t="s">
        <v>279</v>
      </c>
      <c r="S478" s="80" t="s">
        <v>280</v>
      </c>
      <c r="T478" s="80" t="s">
        <v>281</v>
      </c>
      <c r="U478" s="80" t="s">
        <v>282</v>
      </c>
      <c r="V478" s="80" t="s">
        <v>283</v>
      </c>
      <c r="W478" s="43"/>
      <c r="X478" s="44" t="s">
        <v>284</v>
      </c>
      <c r="Y478" s="44" t="s">
        <v>285</v>
      </c>
      <c r="Z478" s="188">
        <v>7.0000000000000007E-2</v>
      </c>
      <c r="AA478" s="188">
        <v>0.03</v>
      </c>
    </row>
    <row r="479" spans="2:27" x14ac:dyDescent="0.2">
      <c r="B479" s="51">
        <f>Start_Year</f>
        <v>2015</v>
      </c>
      <c r="C479" s="51">
        <v>0</v>
      </c>
      <c r="D479" s="51">
        <f t="array" ref="D479:D508">TRANSPOSE(J331:AM331)</f>
        <v>18</v>
      </c>
      <c r="E479" s="51">
        <f t="array" ref="E479:E508">TRANSPOSE(J332:AM332)</f>
        <v>21</v>
      </c>
      <c r="F479" s="51">
        <f t="array" ref="F479:F508">TRANSPOSE(J344:AM344)</f>
        <v>21</v>
      </c>
      <c r="G479" s="51">
        <f>F479-E479</f>
        <v>0</v>
      </c>
      <c r="H479" s="13">
        <v>30</v>
      </c>
      <c r="I479" s="51">
        <f>H479*G479</f>
        <v>0</v>
      </c>
      <c r="J479" s="115">
        <v>0.15</v>
      </c>
      <c r="L479" s="13">
        <v>2</v>
      </c>
      <c r="M479" s="51">
        <f>G479*L479</f>
        <v>0</v>
      </c>
      <c r="N479" s="102">
        <f>$I$464</f>
        <v>110.08390183262324</v>
      </c>
      <c r="O479" s="116">
        <f>M479*N479*8</f>
        <v>0</v>
      </c>
      <c r="Q479" s="59">
        <f>I479*J479</f>
        <v>0</v>
      </c>
      <c r="R479" s="13">
        <v>2</v>
      </c>
      <c r="S479" s="51">
        <f>Q479*R479</f>
        <v>0</v>
      </c>
      <c r="T479" s="61">
        <f>$I$474</f>
        <v>34.091452892420236</v>
      </c>
      <c r="U479" s="61">
        <f>S479*T479</f>
        <v>0</v>
      </c>
      <c r="V479" s="61">
        <f>U479*8</f>
        <v>0</v>
      </c>
      <c r="X479" s="61">
        <f>V479-O479</f>
        <v>0</v>
      </c>
      <c r="Y479" s="61">
        <f>X479*260</f>
        <v>0</v>
      </c>
      <c r="Z479" s="61">
        <f t="shared" ref="Z479:Z508" si="349">Y479/((1+Discount_1)^(B479-$B$479))</f>
        <v>0</v>
      </c>
      <c r="AA479" s="61">
        <f t="shared" ref="AA479:AA508" si="350">Y479/((1+Discount_2)^(B479-$B$479))</f>
        <v>0</v>
      </c>
    </row>
    <row r="480" spans="2:27" x14ac:dyDescent="0.2">
      <c r="B480" s="51">
        <f>B479+1</f>
        <v>2016</v>
      </c>
      <c r="C480" s="51">
        <f>C479+1</f>
        <v>1</v>
      </c>
      <c r="D480" s="51">
        <v>18</v>
      </c>
      <c r="E480" s="51">
        <v>22</v>
      </c>
      <c r="F480" s="51">
        <v>22</v>
      </c>
      <c r="G480" s="51">
        <f t="shared" ref="G480:G508" si="351">F480-E480</f>
        <v>0</v>
      </c>
      <c r="H480" s="13">
        <v>30</v>
      </c>
      <c r="I480" s="51">
        <f t="shared" ref="I480:I508" si="352">H480*G480</f>
        <v>0</v>
      </c>
      <c r="J480" s="115">
        <v>0.15</v>
      </c>
      <c r="L480" s="13">
        <v>2</v>
      </c>
      <c r="M480" s="51">
        <f t="shared" ref="M480:M508" si="353">G480*L480</f>
        <v>0</v>
      </c>
      <c r="N480" s="102">
        <f t="shared" ref="N480:N508" si="354">$I$464</f>
        <v>110.08390183262324</v>
      </c>
      <c r="O480" s="116">
        <f t="shared" ref="O480:O508" si="355">M480*N480*8</f>
        <v>0</v>
      </c>
      <c r="Q480" s="59">
        <f t="shared" ref="Q480:Q508" si="356">I480*J480</f>
        <v>0</v>
      </c>
      <c r="R480" s="13">
        <v>2</v>
      </c>
      <c r="S480" s="51">
        <f t="shared" ref="S480:S508" si="357">Q480*R480</f>
        <v>0</v>
      </c>
      <c r="T480" s="61">
        <f t="shared" ref="T480:T508" si="358">$I$474</f>
        <v>34.091452892420236</v>
      </c>
      <c r="U480" s="61">
        <f t="shared" ref="U480:U508" si="359">S480*T480</f>
        <v>0</v>
      </c>
      <c r="V480" s="61">
        <f t="shared" ref="V480:V508" si="360">U480*8</f>
        <v>0</v>
      </c>
      <c r="X480" s="61">
        <f t="shared" ref="X480:X508" si="361">V480-O480</f>
        <v>0</v>
      </c>
      <c r="Y480" s="61">
        <f t="shared" ref="Y480:Y508" si="362">X480*260</f>
        <v>0</v>
      </c>
      <c r="Z480" s="61">
        <f t="shared" si="349"/>
        <v>0</v>
      </c>
      <c r="AA480" s="61">
        <f t="shared" si="350"/>
        <v>0</v>
      </c>
    </row>
    <row r="481" spans="2:27" x14ac:dyDescent="0.2">
      <c r="B481" s="51">
        <f t="shared" ref="B481:B508" si="363">B480+1</f>
        <v>2017</v>
      </c>
      <c r="C481" s="51">
        <f t="shared" ref="C481:C508" si="364">C480+1</f>
        <v>2</v>
      </c>
      <c r="D481" s="51">
        <v>18</v>
      </c>
      <c r="E481" s="51">
        <v>23</v>
      </c>
      <c r="F481" s="51">
        <v>23</v>
      </c>
      <c r="G481" s="51">
        <f t="shared" si="351"/>
        <v>0</v>
      </c>
      <c r="H481" s="13">
        <v>30</v>
      </c>
      <c r="I481" s="51">
        <f t="shared" si="352"/>
        <v>0</v>
      </c>
      <c r="J481" s="115">
        <v>0.15</v>
      </c>
      <c r="L481" s="13">
        <v>2</v>
      </c>
      <c r="M481" s="51">
        <f t="shared" si="353"/>
        <v>0</v>
      </c>
      <c r="N481" s="102">
        <f t="shared" si="354"/>
        <v>110.08390183262324</v>
      </c>
      <c r="O481" s="116">
        <f t="shared" si="355"/>
        <v>0</v>
      </c>
      <c r="Q481" s="59">
        <f t="shared" si="356"/>
        <v>0</v>
      </c>
      <c r="R481" s="13">
        <v>2</v>
      </c>
      <c r="S481" s="51">
        <f t="shared" si="357"/>
        <v>0</v>
      </c>
      <c r="T481" s="61">
        <f t="shared" si="358"/>
        <v>34.091452892420236</v>
      </c>
      <c r="U481" s="61">
        <f t="shared" si="359"/>
        <v>0</v>
      </c>
      <c r="V481" s="61">
        <f t="shared" si="360"/>
        <v>0</v>
      </c>
      <c r="X481" s="61">
        <f t="shared" si="361"/>
        <v>0</v>
      </c>
      <c r="Y481" s="61">
        <f t="shared" si="362"/>
        <v>0</v>
      </c>
      <c r="Z481" s="61">
        <f t="shared" si="349"/>
        <v>0</v>
      </c>
      <c r="AA481" s="61">
        <f t="shared" si="350"/>
        <v>0</v>
      </c>
    </row>
    <row r="482" spans="2:27" x14ac:dyDescent="0.2">
      <c r="B482" s="51">
        <f t="shared" si="363"/>
        <v>2018</v>
      </c>
      <c r="C482" s="51">
        <f t="shared" si="364"/>
        <v>3</v>
      </c>
      <c r="D482" s="51">
        <v>18</v>
      </c>
      <c r="E482" s="51">
        <v>24</v>
      </c>
      <c r="F482" s="51">
        <v>24</v>
      </c>
      <c r="G482" s="51">
        <f t="shared" si="351"/>
        <v>0</v>
      </c>
      <c r="H482" s="13">
        <v>30</v>
      </c>
      <c r="I482" s="51">
        <f t="shared" si="352"/>
        <v>0</v>
      </c>
      <c r="J482" s="115">
        <v>0.15</v>
      </c>
      <c r="L482" s="13">
        <v>2</v>
      </c>
      <c r="M482" s="51">
        <f t="shared" si="353"/>
        <v>0</v>
      </c>
      <c r="N482" s="102">
        <f t="shared" si="354"/>
        <v>110.08390183262324</v>
      </c>
      <c r="O482" s="116">
        <f t="shared" si="355"/>
        <v>0</v>
      </c>
      <c r="Q482" s="59">
        <f t="shared" si="356"/>
        <v>0</v>
      </c>
      <c r="R482" s="13">
        <v>2</v>
      </c>
      <c r="S482" s="51">
        <f t="shared" si="357"/>
        <v>0</v>
      </c>
      <c r="T482" s="61">
        <f t="shared" si="358"/>
        <v>34.091452892420236</v>
      </c>
      <c r="U482" s="61">
        <f t="shared" si="359"/>
        <v>0</v>
      </c>
      <c r="V482" s="61">
        <f t="shared" si="360"/>
        <v>0</v>
      </c>
      <c r="X482" s="61">
        <f t="shared" si="361"/>
        <v>0</v>
      </c>
      <c r="Y482" s="61">
        <f t="shared" si="362"/>
        <v>0</v>
      </c>
      <c r="Z482" s="61">
        <f t="shared" si="349"/>
        <v>0</v>
      </c>
      <c r="AA482" s="61">
        <f t="shared" si="350"/>
        <v>0</v>
      </c>
    </row>
    <row r="483" spans="2:27" x14ac:dyDescent="0.2">
      <c r="B483" s="51">
        <f t="shared" si="363"/>
        <v>2019</v>
      </c>
      <c r="C483" s="51">
        <f t="shared" si="364"/>
        <v>4</v>
      </c>
      <c r="D483" s="51">
        <v>18</v>
      </c>
      <c r="E483" s="51">
        <v>24</v>
      </c>
      <c r="F483" s="51">
        <v>25</v>
      </c>
      <c r="G483" s="51">
        <f t="shared" si="351"/>
        <v>1</v>
      </c>
      <c r="H483" s="13">
        <v>30</v>
      </c>
      <c r="I483" s="51">
        <f t="shared" si="352"/>
        <v>30</v>
      </c>
      <c r="J483" s="115">
        <v>0.15</v>
      </c>
      <c r="L483" s="13">
        <v>2</v>
      </c>
      <c r="M483" s="51">
        <f t="shared" si="353"/>
        <v>2</v>
      </c>
      <c r="N483" s="102">
        <f t="shared" si="354"/>
        <v>110.08390183262324</v>
      </c>
      <c r="O483" s="116">
        <f t="shared" si="355"/>
        <v>1761.3424293219718</v>
      </c>
      <c r="Q483" s="59">
        <f t="shared" si="356"/>
        <v>4.5</v>
      </c>
      <c r="R483" s="13">
        <v>2</v>
      </c>
      <c r="S483" s="51">
        <f t="shared" si="357"/>
        <v>9</v>
      </c>
      <c r="T483" s="61">
        <f t="shared" si="358"/>
        <v>34.091452892420236</v>
      </c>
      <c r="U483" s="61">
        <f t="shared" si="359"/>
        <v>306.82307603178214</v>
      </c>
      <c r="V483" s="61">
        <f t="shared" si="360"/>
        <v>2454.5846082542571</v>
      </c>
      <c r="X483" s="61">
        <f t="shared" si="361"/>
        <v>693.24217893228524</v>
      </c>
      <c r="Y483" s="61">
        <f t="shared" si="362"/>
        <v>180242.96652239416</v>
      </c>
      <c r="Z483" s="61">
        <f t="shared" si="349"/>
        <v>137506.49616517688</v>
      </c>
      <c r="AA483" s="61">
        <f t="shared" si="350"/>
        <v>160143.54123304834</v>
      </c>
    </row>
    <row r="484" spans="2:27" x14ac:dyDescent="0.2">
      <c r="B484" s="51">
        <f t="shared" si="363"/>
        <v>2020</v>
      </c>
      <c r="C484" s="51">
        <f t="shared" si="364"/>
        <v>5</v>
      </c>
      <c r="D484" s="51">
        <v>18</v>
      </c>
      <c r="E484" s="51">
        <v>24</v>
      </c>
      <c r="F484" s="51">
        <v>26</v>
      </c>
      <c r="G484" s="51">
        <f t="shared" si="351"/>
        <v>2</v>
      </c>
      <c r="H484" s="13">
        <v>30</v>
      </c>
      <c r="I484" s="51">
        <f t="shared" si="352"/>
        <v>60</v>
      </c>
      <c r="J484" s="115">
        <v>0.15</v>
      </c>
      <c r="L484" s="13">
        <v>2</v>
      </c>
      <c r="M484" s="51">
        <f t="shared" si="353"/>
        <v>4</v>
      </c>
      <c r="N484" s="102">
        <f t="shared" si="354"/>
        <v>110.08390183262324</v>
      </c>
      <c r="O484" s="116">
        <f t="shared" si="355"/>
        <v>3522.6848586439437</v>
      </c>
      <c r="Q484" s="59">
        <f t="shared" si="356"/>
        <v>9</v>
      </c>
      <c r="R484" s="13">
        <v>2</v>
      </c>
      <c r="S484" s="51">
        <f t="shared" si="357"/>
        <v>18</v>
      </c>
      <c r="T484" s="61">
        <f t="shared" si="358"/>
        <v>34.091452892420236</v>
      </c>
      <c r="U484" s="61">
        <f t="shared" si="359"/>
        <v>613.64615206356427</v>
      </c>
      <c r="V484" s="61">
        <f t="shared" si="360"/>
        <v>4909.1692165085142</v>
      </c>
      <c r="X484" s="61">
        <f t="shared" si="361"/>
        <v>1386.4843578645705</v>
      </c>
      <c r="Y484" s="61">
        <f t="shared" si="362"/>
        <v>360485.93304478831</v>
      </c>
      <c r="Z484" s="61">
        <f t="shared" si="349"/>
        <v>257021.48815920908</v>
      </c>
      <c r="AA484" s="61">
        <f t="shared" si="350"/>
        <v>310958.33249135601</v>
      </c>
    </row>
    <row r="485" spans="2:27" s="119" customFormat="1" x14ac:dyDescent="0.2">
      <c r="B485" s="117">
        <f t="shared" si="363"/>
        <v>2021</v>
      </c>
      <c r="C485" s="117">
        <f t="shared" si="364"/>
        <v>6</v>
      </c>
      <c r="D485" s="117">
        <v>18</v>
      </c>
      <c r="E485" s="117">
        <v>24</v>
      </c>
      <c r="F485" s="117">
        <v>27</v>
      </c>
      <c r="G485" s="117">
        <f t="shared" si="351"/>
        <v>3</v>
      </c>
      <c r="H485" s="106">
        <v>30</v>
      </c>
      <c r="I485" s="117">
        <f t="shared" si="352"/>
        <v>90</v>
      </c>
      <c r="J485" s="118">
        <v>0.15</v>
      </c>
      <c r="L485" s="106">
        <v>2</v>
      </c>
      <c r="M485" s="117">
        <f t="shared" si="353"/>
        <v>6</v>
      </c>
      <c r="N485" s="120">
        <f t="shared" si="354"/>
        <v>110.08390183262324</v>
      </c>
      <c r="O485" s="121">
        <f t="shared" si="355"/>
        <v>5284.0272879659151</v>
      </c>
      <c r="Q485" s="122">
        <f t="shared" si="356"/>
        <v>13.5</v>
      </c>
      <c r="R485" s="106">
        <v>2</v>
      </c>
      <c r="S485" s="117">
        <f t="shared" si="357"/>
        <v>27</v>
      </c>
      <c r="T485" s="187">
        <f t="shared" si="358"/>
        <v>34.091452892420236</v>
      </c>
      <c r="U485" s="187">
        <f t="shared" si="359"/>
        <v>920.46922809534635</v>
      </c>
      <c r="V485" s="187">
        <f t="shared" si="360"/>
        <v>7363.7538247627708</v>
      </c>
      <c r="X485" s="187">
        <f t="shared" si="361"/>
        <v>2079.7265367968557</v>
      </c>
      <c r="Y485" s="187">
        <f t="shared" si="362"/>
        <v>540728.89956718253</v>
      </c>
      <c r="Z485" s="187">
        <f t="shared" si="349"/>
        <v>360310.49741945206</v>
      </c>
      <c r="AA485" s="187">
        <f t="shared" si="350"/>
        <v>452851.94052139227</v>
      </c>
    </row>
    <row r="486" spans="2:27" x14ac:dyDescent="0.2">
      <c r="B486" s="51">
        <f t="shared" si="363"/>
        <v>2022</v>
      </c>
      <c r="C486" s="51">
        <f t="shared" si="364"/>
        <v>7</v>
      </c>
      <c r="D486" s="51">
        <v>18</v>
      </c>
      <c r="E486" s="51">
        <v>24</v>
      </c>
      <c r="F486" s="51">
        <v>28</v>
      </c>
      <c r="G486" s="51">
        <f t="shared" si="351"/>
        <v>4</v>
      </c>
      <c r="H486" s="13">
        <v>30</v>
      </c>
      <c r="I486" s="51">
        <f t="shared" si="352"/>
        <v>120</v>
      </c>
      <c r="J486" s="115">
        <v>0.15</v>
      </c>
      <c r="L486" s="13">
        <v>2</v>
      </c>
      <c r="M486" s="51">
        <f t="shared" si="353"/>
        <v>8</v>
      </c>
      <c r="N486" s="102">
        <f t="shared" si="354"/>
        <v>110.08390183262324</v>
      </c>
      <c r="O486" s="116">
        <f t="shared" si="355"/>
        <v>7045.3697172878874</v>
      </c>
      <c r="Q486" s="59">
        <f t="shared" si="356"/>
        <v>18</v>
      </c>
      <c r="R486" s="13">
        <v>2</v>
      </c>
      <c r="S486" s="51">
        <f t="shared" si="357"/>
        <v>36</v>
      </c>
      <c r="T486" s="61">
        <f t="shared" si="358"/>
        <v>34.091452892420236</v>
      </c>
      <c r="U486" s="61">
        <f t="shared" si="359"/>
        <v>1227.2923041271285</v>
      </c>
      <c r="V486" s="61">
        <f t="shared" si="360"/>
        <v>9818.3384330170284</v>
      </c>
      <c r="X486" s="61">
        <f t="shared" si="361"/>
        <v>2772.968715729141</v>
      </c>
      <c r="Y486" s="61">
        <f t="shared" si="362"/>
        <v>720971.86608957662</v>
      </c>
      <c r="Z486" s="61">
        <f t="shared" si="349"/>
        <v>448985.04351333581</v>
      </c>
      <c r="AA486" s="61">
        <f t="shared" si="350"/>
        <v>586216.10423481197</v>
      </c>
    </row>
    <row r="487" spans="2:27" x14ac:dyDescent="0.2">
      <c r="B487" s="51">
        <f t="shared" si="363"/>
        <v>2023</v>
      </c>
      <c r="C487" s="51">
        <f t="shared" si="364"/>
        <v>8</v>
      </c>
      <c r="D487" s="51">
        <v>18</v>
      </c>
      <c r="E487" s="51">
        <v>24</v>
      </c>
      <c r="F487" s="51">
        <v>29</v>
      </c>
      <c r="G487" s="51">
        <f t="shared" si="351"/>
        <v>5</v>
      </c>
      <c r="H487" s="13">
        <v>30</v>
      </c>
      <c r="I487" s="51">
        <f t="shared" si="352"/>
        <v>150</v>
      </c>
      <c r="J487" s="115">
        <v>0.15</v>
      </c>
      <c r="L487" s="13">
        <v>2</v>
      </c>
      <c r="M487" s="51">
        <f t="shared" si="353"/>
        <v>10</v>
      </c>
      <c r="N487" s="102">
        <f t="shared" si="354"/>
        <v>110.08390183262324</v>
      </c>
      <c r="O487" s="116">
        <f t="shared" si="355"/>
        <v>8806.7121466098597</v>
      </c>
      <c r="Q487" s="59">
        <f t="shared" si="356"/>
        <v>22.5</v>
      </c>
      <c r="R487" s="13">
        <v>2</v>
      </c>
      <c r="S487" s="51">
        <f t="shared" si="357"/>
        <v>45</v>
      </c>
      <c r="T487" s="61">
        <f t="shared" si="358"/>
        <v>34.091452892420236</v>
      </c>
      <c r="U487" s="61">
        <f t="shared" si="359"/>
        <v>1534.1153801589105</v>
      </c>
      <c r="V487" s="61">
        <f t="shared" si="360"/>
        <v>12272.923041271284</v>
      </c>
      <c r="X487" s="61">
        <f t="shared" si="361"/>
        <v>3466.2108946614244</v>
      </c>
      <c r="Y487" s="61">
        <f t="shared" si="362"/>
        <v>901214.83261197037</v>
      </c>
      <c r="Z487" s="61">
        <f t="shared" si="349"/>
        <v>524515.23774922383</v>
      </c>
      <c r="AA487" s="61">
        <f t="shared" si="350"/>
        <v>711427.31096457737</v>
      </c>
    </row>
    <row r="488" spans="2:27" x14ac:dyDescent="0.2">
      <c r="B488" s="51">
        <f t="shared" si="363"/>
        <v>2024</v>
      </c>
      <c r="C488" s="51">
        <f t="shared" si="364"/>
        <v>9</v>
      </c>
      <c r="D488" s="51">
        <v>18</v>
      </c>
      <c r="E488" s="51">
        <v>24</v>
      </c>
      <c r="F488" s="51">
        <v>30</v>
      </c>
      <c r="G488" s="51">
        <f t="shared" si="351"/>
        <v>6</v>
      </c>
      <c r="H488" s="13">
        <v>30</v>
      </c>
      <c r="I488" s="51">
        <f t="shared" si="352"/>
        <v>180</v>
      </c>
      <c r="J488" s="115">
        <v>0.15</v>
      </c>
      <c r="L488" s="13">
        <v>2</v>
      </c>
      <c r="M488" s="51">
        <f t="shared" si="353"/>
        <v>12</v>
      </c>
      <c r="N488" s="102">
        <f t="shared" si="354"/>
        <v>110.08390183262324</v>
      </c>
      <c r="O488" s="116">
        <f t="shared" si="355"/>
        <v>10568.05457593183</v>
      </c>
      <c r="Q488" s="59">
        <f t="shared" si="356"/>
        <v>27</v>
      </c>
      <c r="R488" s="13">
        <v>2</v>
      </c>
      <c r="S488" s="51">
        <f t="shared" si="357"/>
        <v>54</v>
      </c>
      <c r="T488" s="61">
        <f t="shared" si="358"/>
        <v>34.091452892420236</v>
      </c>
      <c r="U488" s="61">
        <f t="shared" si="359"/>
        <v>1840.9384561906927</v>
      </c>
      <c r="V488" s="61">
        <f t="shared" si="360"/>
        <v>14727.507649525542</v>
      </c>
      <c r="X488" s="61">
        <f t="shared" si="361"/>
        <v>4159.4530735937115</v>
      </c>
      <c r="Y488" s="61">
        <f t="shared" si="362"/>
        <v>1081457.7991343651</v>
      </c>
      <c r="Z488" s="61">
        <f t="shared" si="349"/>
        <v>588241.38812997099</v>
      </c>
      <c r="AA488" s="61">
        <f t="shared" si="350"/>
        <v>828847.35258009052</v>
      </c>
    </row>
    <row r="489" spans="2:27" x14ac:dyDescent="0.2">
      <c r="B489" s="51">
        <f t="shared" si="363"/>
        <v>2025</v>
      </c>
      <c r="C489" s="51">
        <f t="shared" si="364"/>
        <v>10</v>
      </c>
      <c r="D489" s="51">
        <v>18</v>
      </c>
      <c r="E489" s="51">
        <v>24</v>
      </c>
      <c r="F489" s="51">
        <v>31</v>
      </c>
      <c r="G489" s="51">
        <f t="shared" si="351"/>
        <v>7</v>
      </c>
      <c r="H489" s="13">
        <v>30</v>
      </c>
      <c r="I489" s="51">
        <f t="shared" si="352"/>
        <v>210</v>
      </c>
      <c r="J489" s="115">
        <v>0.15</v>
      </c>
      <c r="L489" s="13">
        <v>2</v>
      </c>
      <c r="M489" s="51">
        <f t="shared" si="353"/>
        <v>14</v>
      </c>
      <c r="N489" s="102">
        <f t="shared" si="354"/>
        <v>110.08390183262324</v>
      </c>
      <c r="O489" s="116">
        <f t="shared" si="355"/>
        <v>12329.397005253802</v>
      </c>
      <c r="Q489" s="59">
        <f t="shared" si="356"/>
        <v>31.5</v>
      </c>
      <c r="R489" s="13">
        <v>2</v>
      </c>
      <c r="S489" s="51">
        <f t="shared" si="357"/>
        <v>63</v>
      </c>
      <c r="T489" s="61">
        <f t="shared" si="358"/>
        <v>34.091452892420236</v>
      </c>
      <c r="U489" s="61">
        <f t="shared" si="359"/>
        <v>2147.7615322224747</v>
      </c>
      <c r="V489" s="61">
        <f t="shared" si="360"/>
        <v>17182.092257779797</v>
      </c>
      <c r="X489" s="61">
        <f t="shared" si="361"/>
        <v>4852.6952525259949</v>
      </c>
      <c r="Y489" s="61">
        <f t="shared" si="362"/>
        <v>1261700.7656567586</v>
      </c>
      <c r="Z489" s="61">
        <f t="shared" si="349"/>
        <v>641384.6911074447</v>
      </c>
      <c r="AA489" s="61">
        <f t="shared" si="350"/>
        <v>938823.86214573309</v>
      </c>
    </row>
    <row r="490" spans="2:27" x14ac:dyDescent="0.2">
      <c r="B490" s="51">
        <f t="shared" si="363"/>
        <v>2026</v>
      </c>
      <c r="C490" s="51">
        <f t="shared" si="364"/>
        <v>11</v>
      </c>
      <c r="D490" s="51">
        <v>18</v>
      </c>
      <c r="E490" s="51">
        <v>24</v>
      </c>
      <c r="F490" s="51">
        <v>32</v>
      </c>
      <c r="G490" s="51">
        <f t="shared" si="351"/>
        <v>8</v>
      </c>
      <c r="H490" s="13">
        <v>30</v>
      </c>
      <c r="I490" s="51">
        <f t="shared" si="352"/>
        <v>240</v>
      </c>
      <c r="J490" s="115">
        <v>0.15</v>
      </c>
      <c r="L490" s="13">
        <v>2</v>
      </c>
      <c r="M490" s="51">
        <f t="shared" si="353"/>
        <v>16</v>
      </c>
      <c r="N490" s="102">
        <f t="shared" si="354"/>
        <v>110.08390183262324</v>
      </c>
      <c r="O490" s="116">
        <f t="shared" si="355"/>
        <v>14090.739434575775</v>
      </c>
      <c r="Q490" s="59">
        <f t="shared" si="356"/>
        <v>36</v>
      </c>
      <c r="R490" s="13">
        <v>2</v>
      </c>
      <c r="S490" s="51">
        <f t="shared" si="357"/>
        <v>72</v>
      </c>
      <c r="T490" s="61">
        <f t="shared" si="358"/>
        <v>34.091452892420236</v>
      </c>
      <c r="U490" s="61">
        <f t="shared" si="359"/>
        <v>2454.5846082542571</v>
      </c>
      <c r="V490" s="61">
        <f t="shared" si="360"/>
        <v>19636.676866034057</v>
      </c>
      <c r="X490" s="61">
        <f t="shared" si="361"/>
        <v>5545.9374314582819</v>
      </c>
      <c r="Y490" s="61">
        <f t="shared" si="362"/>
        <v>1441943.7321791532</v>
      </c>
      <c r="Z490" s="61">
        <f t="shared" si="349"/>
        <v>685057.07995454723</v>
      </c>
      <c r="AA490" s="61">
        <f t="shared" si="350"/>
        <v>1041690.8317844477</v>
      </c>
    </row>
    <row r="491" spans="2:27" x14ac:dyDescent="0.2">
      <c r="B491" s="51">
        <f t="shared" si="363"/>
        <v>2027</v>
      </c>
      <c r="C491" s="51">
        <f t="shared" si="364"/>
        <v>12</v>
      </c>
      <c r="D491" s="51">
        <v>18</v>
      </c>
      <c r="E491" s="51">
        <v>24</v>
      </c>
      <c r="F491" s="51">
        <v>33</v>
      </c>
      <c r="G491" s="51">
        <f t="shared" si="351"/>
        <v>9</v>
      </c>
      <c r="H491" s="13">
        <v>30</v>
      </c>
      <c r="I491" s="51">
        <f t="shared" si="352"/>
        <v>270</v>
      </c>
      <c r="J491" s="115">
        <v>0.15</v>
      </c>
      <c r="L491" s="13">
        <v>2</v>
      </c>
      <c r="M491" s="51">
        <f t="shared" si="353"/>
        <v>18</v>
      </c>
      <c r="N491" s="102">
        <f t="shared" si="354"/>
        <v>110.08390183262324</v>
      </c>
      <c r="O491" s="116">
        <f t="shared" si="355"/>
        <v>15852.081863897747</v>
      </c>
      <c r="Q491" s="59">
        <f t="shared" si="356"/>
        <v>40.5</v>
      </c>
      <c r="R491" s="13">
        <v>2</v>
      </c>
      <c r="S491" s="51">
        <f t="shared" si="357"/>
        <v>81</v>
      </c>
      <c r="T491" s="61">
        <f t="shared" si="358"/>
        <v>34.091452892420236</v>
      </c>
      <c r="U491" s="61">
        <f t="shared" si="359"/>
        <v>2761.4076842860391</v>
      </c>
      <c r="V491" s="61">
        <f t="shared" si="360"/>
        <v>22091.261474288312</v>
      </c>
      <c r="X491" s="61">
        <f t="shared" si="361"/>
        <v>6239.1796103905654</v>
      </c>
      <c r="Y491" s="61">
        <f t="shared" si="362"/>
        <v>1622186.698701547</v>
      </c>
      <c r="Z491" s="61">
        <f t="shared" si="349"/>
        <v>720270.29434473417</v>
      </c>
      <c r="AA491" s="61">
        <f t="shared" si="350"/>
        <v>1137769.1123859258</v>
      </c>
    </row>
    <row r="492" spans="2:27" x14ac:dyDescent="0.2">
      <c r="B492" s="51">
        <f t="shared" si="363"/>
        <v>2028</v>
      </c>
      <c r="C492" s="51">
        <f t="shared" si="364"/>
        <v>13</v>
      </c>
      <c r="D492" s="51">
        <v>18</v>
      </c>
      <c r="E492" s="51">
        <v>24</v>
      </c>
      <c r="F492" s="51">
        <v>34</v>
      </c>
      <c r="G492" s="51">
        <f t="shared" si="351"/>
        <v>10</v>
      </c>
      <c r="H492" s="13">
        <v>30</v>
      </c>
      <c r="I492" s="51">
        <f t="shared" si="352"/>
        <v>300</v>
      </c>
      <c r="J492" s="115">
        <v>0.15</v>
      </c>
      <c r="L492" s="13">
        <v>2</v>
      </c>
      <c r="M492" s="51">
        <f t="shared" si="353"/>
        <v>20</v>
      </c>
      <c r="N492" s="102">
        <f t="shared" si="354"/>
        <v>110.08390183262324</v>
      </c>
      <c r="O492" s="116">
        <f t="shared" si="355"/>
        <v>17613.424293219719</v>
      </c>
      <c r="Q492" s="59">
        <f t="shared" si="356"/>
        <v>45</v>
      </c>
      <c r="R492" s="13">
        <v>2</v>
      </c>
      <c r="S492" s="51">
        <f t="shared" si="357"/>
        <v>90</v>
      </c>
      <c r="T492" s="61">
        <f t="shared" si="358"/>
        <v>34.091452892420236</v>
      </c>
      <c r="U492" s="61">
        <f t="shared" si="359"/>
        <v>3068.230760317821</v>
      </c>
      <c r="V492" s="61">
        <f t="shared" si="360"/>
        <v>24545.846082542568</v>
      </c>
      <c r="X492" s="61">
        <f t="shared" si="361"/>
        <v>6932.4217893228488</v>
      </c>
      <c r="Y492" s="61">
        <f t="shared" si="362"/>
        <v>1802429.6652239407</v>
      </c>
      <c r="Z492" s="61">
        <f t="shared" si="349"/>
        <v>747944.23088757426</v>
      </c>
      <c r="AA492" s="61">
        <f t="shared" si="350"/>
        <v>1227366.8957776974</v>
      </c>
    </row>
    <row r="493" spans="2:27" x14ac:dyDescent="0.2">
      <c r="B493" s="51">
        <f t="shared" si="363"/>
        <v>2029</v>
      </c>
      <c r="C493" s="51">
        <f t="shared" si="364"/>
        <v>14</v>
      </c>
      <c r="D493" s="51">
        <v>18</v>
      </c>
      <c r="E493" s="51">
        <v>24</v>
      </c>
      <c r="F493" s="51">
        <v>35</v>
      </c>
      <c r="G493" s="51">
        <f t="shared" si="351"/>
        <v>11</v>
      </c>
      <c r="H493" s="13">
        <v>30</v>
      </c>
      <c r="I493" s="51">
        <f t="shared" si="352"/>
        <v>330</v>
      </c>
      <c r="J493" s="115">
        <v>0.15</v>
      </c>
      <c r="L493" s="13">
        <v>2</v>
      </c>
      <c r="M493" s="51">
        <f t="shared" si="353"/>
        <v>22</v>
      </c>
      <c r="N493" s="102">
        <f t="shared" si="354"/>
        <v>110.08390183262324</v>
      </c>
      <c r="O493" s="116">
        <f t="shared" si="355"/>
        <v>19374.766722541692</v>
      </c>
      <c r="Q493" s="59">
        <f t="shared" si="356"/>
        <v>49.5</v>
      </c>
      <c r="R493" s="13">
        <v>2</v>
      </c>
      <c r="S493" s="51">
        <f t="shared" si="357"/>
        <v>99</v>
      </c>
      <c r="T493" s="61">
        <f t="shared" si="358"/>
        <v>34.091452892420236</v>
      </c>
      <c r="U493" s="61">
        <f t="shared" si="359"/>
        <v>3375.0538363496034</v>
      </c>
      <c r="V493" s="61">
        <f t="shared" si="360"/>
        <v>27000.430690796828</v>
      </c>
      <c r="X493" s="61">
        <f t="shared" si="361"/>
        <v>7625.6639682551358</v>
      </c>
      <c r="Y493" s="61">
        <f t="shared" si="362"/>
        <v>1982672.6317463354</v>
      </c>
      <c r="Z493" s="61">
        <f t="shared" si="349"/>
        <v>768914.62988442241</v>
      </c>
      <c r="AA493" s="61">
        <f t="shared" si="350"/>
        <v>1310780.1799567647</v>
      </c>
    </row>
    <row r="494" spans="2:27" x14ac:dyDescent="0.2">
      <c r="B494" s="51">
        <f t="shared" si="363"/>
        <v>2030</v>
      </c>
      <c r="C494" s="51">
        <f t="shared" si="364"/>
        <v>15</v>
      </c>
      <c r="D494" s="51">
        <v>18</v>
      </c>
      <c r="E494" s="51">
        <v>24</v>
      </c>
      <c r="F494" s="51">
        <v>36</v>
      </c>
      <c r="G494" s="51">
        <f t="shared" si="351"/>
        <v>12</v>
      </c>
      <c r="H494" s="13">
        <v>30</v>
      </c>
      <c r="I494" s="51">
        <f t="shared" si="352"/>
        <v>360</v>
      </c>
      <c r="J494" s="115">
        <v>0.15</v>
      </c>
      <c r="L494" s="13">
        <v>2</v>
      </c>
      <c r="M494" s="51">
        <f t="shared" si="353"/>
        <v>24</v>
      </c>
      <c r="N494" s="102">
        <f t="shared" si="354"/>
        <v>110.08390183262324</v>
      </c>
      <c r="O494" s="116">
        <f t="shared" si="355"/>
        <v>21136.10915186366</v>
      </c>
      <c r="Q494" s="59">
        <f t="shared" si="356"/>
        <v>54</v>
      </c>
      <c r="R494" s="13">
        <v>2</v>
      </c>
      <c r="S494" s="51">
        <f t="shared" si="357"/>
        <v>108</v>
      </c>
      <c r="T494" s="61">
        <f t="shared" si="358"/>
        <v>34.091452892420236</v>
      </c>
      <c r="U494" s="61">
        <f t="shared" si="359"/>
        <v>3681.8769123813854</v>
      </c>
      <c r="V494" s="61">
        <f t="shared" si="360"/>
        <v>29455.015299051083</v>
      </c>
      <c r="X494" s="61">
        <f t="shared" si="361"/>
        <v>8318.9061471874229</v>
      </c>
      <c r="Y494" s="61">
        <f t="shared" si="362"/>
        <v>2162915.5982687301</v>
      </c>
      <c r="Z494" s="61">
        <f t="shared" si="349"/>
        <v>783940.14941487426</v>
      </c>
      <c r="AA494" s="61">
        <f t="shared" si="350"/>
        <v>1388293.2179595039</v>
      </c>
    </row>
    <row r="495" spans="2:27" x14ac:dyDescent="0.2">
      <c r="B495" s="51">
        <f t="shared" si="363"/>
        <v>2031</v>
      </c>
      <c r="C495" s="51">
        <f t="shared" si="364"/>
        <v>16</v>
      </c>
      <c r="D495" s="51">
        <v>18</v>
      </c>
      <c r="E495" s="51">
        <v>24</v>
      </c>
      <c r="F495" s="51">
        <v>37</v>
      </c>
      <c r="G495" s="51">
        <f t="shared" si="351"/>
        <v>13</v>
      </c>
      <c r="H495" s="13">
        <v>30</v>
      </c>
      <c r="I495" s="51">
        <f t="shared" si="352"/>
        <v>390</v>
      </c>
      <c r="J495" s="115">
        <v>0.15</v>
      </c>
      <c r="L495" s="13">
        <v>2</v>
      </c>
      <c r="M495" s="51">
        <f t="shared" si="353"/>
        <v>26</v>
      </c>
      <c r="N495" s="102">
        <f t="shared" si="354"/>
        <v>110.08390183262324</v>
      </c>
      <c r="O495" s="116">
        <f t="shared" si="355"/>
        <v>22897.451581185633</v>
      </c>
      <c r="Q495" s="59">
        <f t="shared" si="356"/>
        <v>58.5</v>
      </c>
      <c r="R495" s="13">
        <v>2</v>
      </c>
      <c r="S495" s="51">
        <f t="shared" si="357"/>
        <v>117</v>
      </c>
      <c r="T495" s="61">
        <f t="shared" si="358"/>
        <v>34.091452892420236</v>
      </c>
      <c r="U495" s="61">
        <f t="shared" si="359"/>
        <v>3988.6999884131674</v>
      </c>
      <c r="V495" s="61">
        <f t="shared" si="360"/>
        <v>31909.599907305339</v>
      </c>
      <c r="X495" s="61">
        <f t="shared" si="361"/>
        <v>9012.1483261197063</v>
      </c>
      <c r="Y495" s="61">
        <f t="shared" si="362"/>
        <v>2343158.5647911238</v>
      </c>
      <c r="Z495" s="61">
        <f t="shared" si="349"/>
        <v>793708.87401817483</v>
      </c>
      <c r="AA495" s="61">
        <f t="shared" si="350"/>
        <v>1460178.9509282806</v>
      </c>
    </row>
    <row r="496" spans="2:27" x14ac:dyDescent="0.2">
      <c r="B496" s="51">
        <f t="shared" si="363"/>
        <v>2032</v>
      </c>
      <c r="C496" s="51">
        <f t="shared" si="364"/>
        <v>17</v>
      </c>
      <c r="D496" s="51">
        <v>18</v>
      </c>
      <c r="E496" s="51">
        <v>24</v>
      </c>
      <c r="F496" s="51">
        <v>38</v>
      </c>
      <c r="G496" s="51">
        <f t="shared" si="351"/>
        <v>14</v>
      </c>
      <c r="H496" s="13">
        <v>30</v>
      </c>
      <c r="I496" s="51">
        <f t="shared" si="352"/>
        <v>420</v>
      </c>
      <c r="J496" s="115">
        <v>0.15</v>
      </c>
      <c r="L496" s="13">
        <v>2</v>
      </c>
      <c r="M496" s="51">
        <f t="shared" si="353"/>
        <v>28</v>
      </c>
      <c r="N496" s="102">
        <f t="shared" si="354"/>
        <v>110.08390183262324</v>
      </c>
      <c r="O496" s="116">
        <f t="shared" si="355"/>
        <v>24658.794010507605</v>
      </c>
      <c r="Q496" s="59">
        <f t="shared" si="356"/>
        <v>63</v>
      </c>
      <c r="R496" s="13">
        <v>2</v>
      </c>
      <c r="S496" s="51">
        <f t="shared" si="357"/>
        <v>126</v>
      </c>
      <c r="T496" s="61">
        <f t="shared" si="358"/>
        <v>34.091452892420236</v>
      </c>
      <c r="U496" s="61">
        <f t="shared" si="359"/>
        <v>4295.5230644449493</v>
      </c>
      <c r="V496" s="61">
        <f t="shared" si="360"/>
        <v>34364.184515559595</v>
      </c>
      <c r="X496" s="61">
        <f t="shared" si="361"/>
        <v>9705.3905050519897</v>
      </c>
      <c r="Y496" s="61">
        <f t="shared" si="362"/>
        <v>2523401.5313135171</v>
      </c>
      <c r="Z496" s="61">
        <f t="shared" si="349"/>
        <v>798844.3016717789</v>
      </c>
      <c r="AA496" s="61">
        <f t="shared" si="350"/>
        <v>1526699.4259145574</v>
      </c>
    </row>
    <row r="497" spans="2:27" x14ac:dyDescent="0.2">
      <c r="B497" s="51">
        <f t="shared" si="363"/>
        <v>2033</v>
      </c>
      <c r="C497" s="51">
        <f t="shared" si="364"/>
        <v>18</v>
      </c>
      <c r="D497" s="51">
        <v>18</v>
      </c>
      <c r="E497" s="51">
        <v>24</v>
      </c>
      <c r="F497" s="51">
        <v>39</v>
      </c>
      <c r="G497" s="51">
        <f t="shared" si="351"/>
        <v>15</v>
      </c>
      <c r="H497" s="13">
        <v>30</v>
      </c>
      <c r="I497" s="51">
        <f t="shared" si="352"/>
        <v>450</v>
      </c>
      <c r="J497" s="115">
        <v>0.15</v>
      </c>
      <c r="L497" s="13">
        <v>2</v>
      </c>
      <c r="M497" s="51">
        <f t="shared" si="353"/>
        <v>30</v>
      </c>
      <c r="N497" s="102">
        <f t="shared" si="354"/>
        <v>110.08390183262324</v>
      </c>
      <c r="O497" s="116">
        <f t="shared" si="355"/>
        <v>26420.136439829577</v>
      </c>
      <c r="Q497" s="59">
        <f t="shared" si="356"/>
        <v>67.5</v>
      </c>
      <c r="R497" s="13">
        <v>2</v>
      </c>
      <c r="S497" s="51">
        <f t="shared" si="357"/>
        <v>135</v>
      </c>
      <c r="T497" s="61">
        <f t="shared" si="358"/>
        <v>34.091452892420236</v>
      </c>
      <c r="U497" s="61">
        <f t="shared" si="359"/>
        <v>4602.3461404767322</v>
      </c>
      <c r="V497" s="61">
        <f t="shared" si="360"/>
        <v>36818.769123813858</v>
      </c>
      <c r="X497" s="61">
        <f t="shared" si="361"/>
        <v>10398.63268398428</v>
      </c>
      <c r="Y497" s="61">
        <f t="shared" si="362"/>
        <v>2703644.4978359127</v>
      </c>
      <c r="Z497" s="61">
        <f t="shared" si="349"/>
        <v>799910.84947107406</v>
      </c>
      <c r="AA497" s="61">
        <f t="shared" si="350"/>
        <v>1588106.1989402478</v>
      </c>
    </row>
    <row r="498" spans="2:27" x14ac:dyDescent="0.2">
      <c r="B498" s="51">
        <f t="shared" si="363"/>
        <v>2034</v>
      </c>
      <c r="C498" s="51">
        <f t="shared" si="364"/>
        <v>19</v>
      </c>
      <c r="D498" s="51">
        <v>18</v>
      </c>
      <c r="E498" s="51">
        <v>24</v>
      </c>
      <c r="F498" s="51">
        <v>40</v>
      </c>
      <c r="G498" s="51">
        <f t="shared" si="351"/>
        <v>16</v>
      </c>
      <c r="H498" s="13">
        <v>30</v>
      </c>
      <c r="I498" s="51">
        <f t="shared" si="352"/>
        <v>480</v>
      </c>
      <c r="J498" s="115">
        <v>0.15</v>
      </c>
      <c r="L498" s="13">
        <v>2</v>
      </c>
      <c r="M498" s="51">
        <f t="shared" si="353"/>
        <v>32</v>
      </c>
      <c r="N498" s="102">
        <f t="shared" si="354"/>
        <v>110.08390183262324</v>
      </c>
      <c r="O498" s="116">
        <f t="shared" si="355"/>
        <v>28181.47886915155</v>
      </c>
      <c r="Q498" s="59">
        <f t="shared" si="356"/>
        <v>72</v>
      </c>
      <c r="R498" s="13">
        <v>2</v>
      </c>
      <c r="S498" s="51">
        <f t="shared" si="357"/>
        <v>144</v>
      </c>
      <c r="T498" s="61">
        <f t="shared" si="358"/>
        <v>34.091452892420236</v>
      </c>
      <c r="U498" s="61">
        <f t="shared" si="359"/>
        <v>4909.1692165085142</v>
      </c>
      <c r="V498" s="61">
        <f t="shared" si="360"/>
        <v>39273.353732068113</v>
      </c>
      <c r="X498" s="61">
        <f t="shared" si="361"/>
        <v>11091.874862916564</v>
      </c>
      <c r="Y498" s="61">
        <f t="shared" si="362"/>
        <v>2883887.4643583065</v>
      </c>
      <c r="Z498" s="61">
        <f t="shared" si="349"/>
        <v>797418.91536057205</v>
      </c>
      <c r="AA498" s="61">
        <f t="shared" si="350"/>
        <v>1644640.7238216156</v>
      </c>
    </row>
    <row r="499" spans="2:27" x14ac:dyDescent="0.2">
      <c r="B499" s="51">
        <f t="shared" si="363"/>
        <v>2035</v>
      </c>
      <c r="C499" s="51">
        <f t="shared" si="364"/>
        <v>20</v>
      </c>
      <c r="D499" s="51">
        <v>18</v>
      </c>
      <c r="E499" s="51">
        <v>24</v>
      </c>
      <c r="F499" s="51">
        <v>40</v>
      </c>
      <c r="G499" s="51">
        <f t="shared" si="351"/>
        <v>16</v>
      </c>
      <c r="H499" s="13">
        <v>30</v>
      </c>
      <c r="I499" s="51">
        <f t="shared" si="352"/>
        <v>480</v>
      </c>
      <c r="J499" s="115">
        <v>0.15</v>
      </c>
      <c r="L499" s="13">
        <v>2</v>
      </c>
      <c r="M499" s="51">
        <f t="shared" si="353"/>
        <v>32</v>
      </c>
      <c r="N499" s="102">
        <f t="shared" si="354"/>
        <v>110.08390183262324</v>
      </c>
      <c r="O499" s="116">
        <f t="shared" si="355"/>
        <v>28181.47886915155</v>
      </c>
      <c r="Q499" s="59">
        <f t="shared" si="356"/>
        <v>72</v>
      </c>
      <c r="R499" s="13">
        <v>2</v>
      </c>
      <c r="S499" s="51">
        <f t="shared" si="357"/>
        <v>144</v>
      </c>
      <c r="T499" s="61">
        <f t="shared" si="358"/>
        <v>34.091452892420236</v>
      </c>
      <c r="U499" s="61">
        <f t="shared" si="359"/>
        <v>4909.1692165085142</v>
      </c>
      <c r="V499" s="61">
        <f t="shared" si="360"/>
        <v>39273.353732068113</v>
      </c>
      <c r="X499" s="61">
        <f t="shared" si="361"/>
        <v>11091.874862916564</v>
      </c>
      <c r="Y499" s="61">
        <f t="shared" si="362"/>
        <v>2883887.4643583065</v>
      </c>
      <c r="Z499" s="61">
        <f t="shared" si="349"/>
        <v>745251.32276688982</v>
      </c>
      <c r="AA499" s="61">
        <f t="shared" si="350"/>
        <v>1596738.5668171025</v>
      </c>
    </row>
    <row r="500" spans="2:27" x14ac:dyDescent="0.2">
      <c r="B500" s="51">
        <f t="shared" si="363"/>
        <v>2036</v>
      </c>
      <c r="C500" s="51">
        <f t="shared" si="364"/>
        <v>21</v>
      </c>
      <c r="D500" s="51">
        <v>18</v>
      </c>
      <c r="E500" s="51">
        <v>24</v>
      </c>
      <c r="F500" s="51">
        <v>40</v>
      </c>
      <c r="G500" s="51">
        <f t="shared" si="351"/>
        <v>16</v>
      </c>
      <c r="H500" s="13">
        <v>30</v>
      </c>
      <c r="I500" s="51">
        <f t="shared" si="352"/>
        <v>480</v>
      </c>
      <c r="J500" s="115">
        <v>0.15</v>
      </c>
      <c r="L500" s="13">
        <v>2</v>
      </c>
      <c r="M500" s="51">
        <f t="shared" si="353"/>
        <v>32</v>
      </c>
      <c r="N500" s="102">
        <f t="shared" si="354"/>
        <v>110.08390183262324</v>
      </c>
      <c r="O500" s="116">
        <f t="shared" si="355"/>
        <v>28181.47886915155</v>
      </c>
      <c r="Q500" s="59">
        <f t="shared" si="356"/>
        <v>72</v>
      </c>
      <c r="R500" s="13">
        <v>2</v>
      </c>
      <c r="S500" s="51">
        <f t="shared" si="357"/>
        <v>144</v>
      </c>
      <c r="T500" s="61">
        <f t="shared" si="358"/>
        <v>34.091452892420236</v>
      </c>
      <c r="U500" s="61">
        <f t="shared" si="359"/>
        <v>4909.1692165085142</v>
      </c>
      <c r="V500" s="61">
        <f t="shared" si="360"/>
        <v>39273.353732068113</v>
      </c>
      <c r="X500" s="61">
        <f t="shared" si="361"/>
        <v>11091.874862916564</v>
      </c>
      <c r="Y500" s="61">
        <f t="shared" si="362"/>
        <v>2883887.4643583065</v>
      </c>
      <c r="Z500" s="61">
        <f t="shared" si="349"/>
        <v>696496.56333354185</v>
      </c>
      <c r="AA500" s="61">
        <f t="shared" si="350"/>
        <v>1550231.6182690319</v>
      </c>
    </row>
    <row r="501" spans="2:27" x14ac:dyDescent="0.2">
      <c r="B501" s="51">
        <f t="shared" si="363"/>
        <v>2037</v>
      </c>
      <c r="C501" s="51">
        <f t="shared" si="364"/>
        <v>22</v>
      </c>
      <c r="D501" s="51">
        <v>18</v>
      </c>
      <c r="E501" s="51">
        <v>24</v>
      </c>
      <c r="F501" s="51">
        <v>40</v>
      </c>
      <c r="G501" s="51">
        <f t="shared" si="351"/>
        <v>16</v>
      </c>
      <c r="H501" s="13">
        <v>30</v>
      </c>
      <c r="I501" s="51">
        <f t="shared" si="352"/>
        <v>480</v>
      </c>
      <c r="J501" s="115">
        <v>0.15</v>
      </c>
      <c r="L501" s="13">
        <v>2</v>
      </c>
      <c r="M501" s="51">
        <f t="shared" si="353"/>
        <v>32</v>
      </c>
      <c r="N501" s="102">
        <f t="shared" si="354"/>
        <v>110.08390183262324</v>
      </c>
      <c r="O501" s="116">
        <f t="shared" si="355"/>
        <v>28181.47886915155</v>
      </c>
      <c r="Q501" s="59">
        <f t="shared" si="356"/>
        <v>72</v>
      </c>
      <c r="R501" s="13">
        <v>2</v>
      </c>
      <c r="S501" s="51">
        <f t="shared" si="357"/>
        <v>144</v>
      </c>
      <c r="T501" s="61">
        <f t="shared" si="358"/>
        <v>34.091452892420236</v>
      </c>
      <c r="U501" s="61">
        <f t="shared" si="359"/>
        <v>4909.1692165085142</v>
      </c>
      <c r="V501" s="61">
        <f t="shared" si="360"/>
        <v>39273.353732068113</v>
      </c>
      <c r="X501" s="61">
        <f t="shared" si="361"/>
        <v>11091.874862916564</v>
      </c>
      <c r="Y501" s="61">
        <f t="shared" si="362"/>
        <v>2883887.4643583065</v>
      </c>
      <c r="Z501" s="61">
        <f t="shared" si="349"/>
        <v>650931.36760144099</v>
      </c>
      <c r="AA501" s="61">
        <f t="shared" si="350"/>
        <v>1505079.2410378947</v>
      </c>
    </row>
    <row r="502" spans="2:27" x14ac:dyDescent="0.2">
      <c r="B502" s="51">
        <f t="shared" si="363"/>
        <v>2038</v>
      </c>
      <c r="C502" s="51">
        <f t="shared" si="364"/>
        <v>23</v>
      </c>
      <c r="D502" s="51">
        <v>18</v>
      </c>
      <c r="E502" s="51">
        <v>24</v>
      </c>
      <c r="F502" s="51">
        <v>40</v>
      </c>
      <c r="G502" s="51">
        <f t="shared" si="351"/>
        <v>16</v>
      </c>
      <c r="H502" s="13">
        <v>30</v>
      </c>
      <c r="I502" s="51">
        <f t="shared" si="352"/>
        <v>480</v>
      </c>
      <c r="J502" s="115">
        <v>0.15</v>
      </c>
      <c r="L502" s="13">
        <v>2</v>
      </c>
      <c r="M502" s="51">
        <f t="shared" si="353"/>
        <v>32</v>
      </c>
      <c r="N502" s="102">
        <f t="shared" si="354"/>
        <v>110.08390183262324</v>
      </c>
      <c r="O502" s="116">
        <f t="shared" si="355"/>
        <v>28181.47886915155</v>
      </c>
      <c r="Q502" s="59">
        <f t="shared" si="356"/>
        <v>72</v>
      </c>
      <c r="R502" s="13">
        <v>2</v>
      </c>
      <c r="S502" s="51">
        <f t="shared" si="357"/>
        <v>144</v>
      </c>
      <c r="T502" s="61">
        <f t="shared" si="358"/>
        <v>34.091452892420236</v>
      </c>
      <c r="U502" s="61">
        <f t="shared" si="359"/>
        <v>4909.1692165085142</v>
      </c>
      <c r="V502" s="61">
        <f t="shared" si="360"/>
        <v>39273.353732068113</v>
      </c>
      <c r="X502" s="61">
        <f t="shared" si="361"/>
        <v>11091.874862916564</v>
      </c>
      <c r="Y502" s="61">
        <f t="shared" si="362"/>
        <v>2883887.4643583065</v>
      </c>
      <c r="Z502" s="61">
        <f t="shared" si="349"/>
        <v>608347.07252471126</v>
      </c>
      <c r="AA502" s="61">
        <f t="shared" si="350"/>
        <v>1461241.981590189</v>
      </c>
    </row>
    <row r="503" spans="2:27" x14ac:dyDescent="0.2">
      <c r="B503" s="51">
        <f t="shared" si="363"/>
        <v>2039</v>
      </c>
      <c r="C503" s="51">
        <f t="shared" si="364"/>
        <v>24</v>
      </c>
      <c r="D503" s="51">
        <v>18</v>
      </c>
      <c r="E503" s="51">
        <v>24</v>
      </c>
      <c r="F503" s="51">
        <v>40</v>
      </c>
      <c r="G503" s="51">
        <f t="shared" si="351"/>
        <v>16</v>
      </c>
      <c r="H503" s="13">
        <v>30</v>
      </c>
      <c r="I503" s="51">
        <f t="shared" si="352"/>
        <v>480</v>
      </c>
      <c r="J503" s="115">
        <v>0.15</v>
      </c>
      <c r="L503" s="13">
        <v>2</v>
      </c>
      <c r="M503" s="51">
        <f t="shared" si="353"/>
        <v>32</v>
      </c>
      <c r="N503" s="102">
        <f t="shared" si="354"/>
        <v>110.08390183262324</v>
      </c>
      <c r="O503" s="116">
        <f t="shared" si="355"/>
        <v>28181.47886915155</v>
      </c>
      <c r="Q503" s="59">
        <f t="shared" si="356"/>
        <v>72</v>
      </c>
      <c r="R503" s="13">
        <v>2</v>
      </c>
      <c r="S503" s="51">
        <f t="shared" si="357"/>
        <v>144</v>
      </c>
      <c r="T503" s="61">
        <f t="shared" si="358"/>
        <v>34.091452892420236</v>
      </c>
      <c r="U503" s="61">
        <f t="shared" si="359"/>
        <v>4909.1692165085142</v>
      </c>
      <c r="V503" s="61">
        <f t="shared" si="360"/>
        <v>39273.353732068113</v>
      </c>
      <c r="X503" s="61">
        <f t="shared" si="361"/>
        <v>11091.874862916564</v>
      </c>
      <c r="Y503" s="61">
        <f t="shared" si="362"/>
        <v>2883887.4643583065</v>
      </c>
      <c r="Z503" s="61">
        <f t="shared" si="349"/>
        <v>568548.66591094504</v>
      </c>
      <c r="AA503" s="61">
        <f t="shared" si="350"/>
        <v>1418681.5355244556</v>
      </c>
    </row>
    <row r="504" spans="2:27" x14ac:dyDescent="0.2">
      <c r="B504" s="51">
        <f t="shared" si="363"/>
        <v>2040</v>
      </c>
      <c r="C504" s="51">
        <f t="shared" si="364"/>
        <v>25</v>
      </c>
      <c r="D504" s="51">
        <v>18</v>
      </c>
      <c r="E504" s="51">
        <v>24</v>
      </c>
      <c r="F504" s="51">
        <v>40</v>
      </c>
      <c r="G504" s="51">
        <f t="shared" si="351"/>
        <v>16</v>
      </c>
      <c r="H504" s="13">
        <v>30</v>
      </c>
      <c r="I504" s="51">
        <f t="shared" si="352"/>
        <v>480</v>
      </c>
      <c r="J504" s="115">
        <v>0.15</v>
      </c>
      <c r="L504" s="13">
        <v>2</v>
      </c>
      <c r="M504" s="51">
        <f t="shared" si="353"/>
        <v>32</v>
      </c>
      <c r="N504" s="102">
        <f t="shared" si="354"/>
        <v>110.08390183262324</v>
      </c>
      <c r="O504" s="116">
        <f t="shared" si="355"/>
        <v>28181.47886915155</v>
      </c>
      <c r="Q504" s="59">
        <f t="shared" si="356"/>
        <v>72</v>
      </c>
      <c r="R504" s="13">
        <v>2</v>
      </c>
      <c r="S504" s="51">
        <f t="shared" si="357"/>
        <v>144</v>
      </c>
      <c r="T504" s="61">
        <f t="shared" si="358"/>
        <v>34.091452892420236</v>
      </c>
      <c r="U504" s="61">
        <f t="shared" si="359"/>
        <v>4909.1692165085142</v>
      </c>
      <c r="V504" s="61">
        <f t="shared" si="360"/>
        <v>39273.353732068113</v>
      </c>
      <c r="X504" s="61">
        <f t="shared" si="361"/>
        <v>11091.874862916564</v>
      </c>
      <c r="Y504" s="61">
        <f t="shared" si="362"/>
        <v>2883887.4643583065</v>
      </c>
      <c r="Z504" s="61">
        <f t="shared" si="349"/>
        <v>531353.893374715</v>
      </c>
      <c r="AA504" s="61">
        <f t="shared" si="350"/>
        <v>1377360.7141014133</v>
      </c>
    </row>
    <row r="505" spans="2:27" x14ac:dyDescent="0.2">
      <c r="B505" s="51">
        <f t="shared" si="363"/>
        <v>2041</v>
      </c>
      <c r="C505" s="51">
        <f t="shared" si="364"/>
        <v>26</v>
      </c>
      <c r="D505" s="51">
        <v>18</v>
      </c>
      <c r="E505" s="51">
        <v>24</v>
      </c>
      <c r="F505" s="51">
        <v>40</v>
      </c>
      <c r="G505" s="51">
        <f t="shared" si="351"/>
        <v>16</v>
      </c>
      <c r="H505" s="13">
        <v>30</v>
      </c>
      <c r="I505" s="51">
        <f t="shared" si="352"/>
        <v>480</v>
      </c>
      <c r="J505" s="115">
        <v>0.15</v>
      </c>
      <c r="L505" s="13">
        <v>2</v>
      </c>
      <c r="M505" s="51">
        <f t="shared" si="353"/>
        <v>32</v>
      </c>
      <c r="N505" s="102">
        <f t="shared" si="354"/>
        <v>110.08390183262324</v>
      </c>
      <c r="O505" s="116">
        <f t="shared" si="355"/>
        <v>28181.47886915155</v>
      </c>
      <c r="Q505" s="59">
        <f t="shared" si="356"/>
        <v>72</v>
      </c>
      <c r="R505" s="13">
        <v>2</v>
      </c>
      <c r="S505" s="51">
        <f t="shared" si="357"/>
        <v>144</v>
      </c>
      <c r="T505" s="61">
        <f t="shared" si="358"/>
        <v>34.091452892420236</v>
      </c>
      <c r="U505" s="61">
        <f t="shared" si="359"/>
        <v>4909.1692165085142</v>
      </c>
      <c r="V505" s="61">
        <f t="shared" si="360"/>
        <v>39273.353732068113</v>
      </c>
      <c r="X505" s="61">
        <f t="shared" si="361"/>
        <v>11091.874862916564</v>
      </c>
      <c r="Y505" s="61">
        <f t="shared" si="362"/>
        <v>2883887.4643583065</v>
      </c>
      <c r="Z505" s="61">
        <f t="shared" si="349"/>
        <v>496592.42371468694</v>
      </c>
      <c r="AA505" s="61">
        <f t="shared" si="350"/>
        <v>1337243.4117489448</v>
      </c>
    </row>
    <row r="506" spans="2:27" x14ac:dyDescent="0.2">
      <c r="B506" s="51">
        <f t="shared" si="363"/>
        <v>2042</v>
      </c>
      <c r="C506" s="51">
        <f t="shared" si="364"/>
        <v>27</v>
      </c>
      <c r="D506" s="51">
        <v>18</v>
      </c>
      <c r="E506" s="51">
        <v>24</v>
      </c>
      <c r="F506" s="51">
        <v>40</v>
      </c>
      <c r="G506" s="51">
        <f t="shared" si="351"/>
        <v>16</v>
      </c>
      <c r="H506" s="13">
        <v>30</v>
      </c>
      <c r="I506" s="51">
        <f t="shared" si="352"/>
        <v>480</v>
      </c>
      <c r="J506" s="115">
        <v>0.15</v>
      </c>
      <c r="L506" s="13">
        <v>2</v>
      </c>
      <c r="M506" s="51">
        <f t="shared" si="353"/>
        <v>32</v>
      </c>
      <c r="N506" s="102">
        <f t="shared" si="354"/>
        <v>110.08390183262324</v>
      </c>
      <c r="O506" s="116">
        <f t="shared" si="355"/>
        <v>28181.47886915155</v>
      </c>
      <c r="Q506" s="59">
        <f t="shared" si="356"/>
        <v>72</v>
      </c>
      <c r="R506" s="13">
        <v>2</v>
      </c>
      <c r="S506" s="51">
        <f t="shared" si="357"/>
        <v>144</v>
      </c>
      <c r="T506" s="61">
        <f t="shared" si="358"/>
        <v>34.091452892420236</v>
      </c>
      <c r="U506" s="61">
        <f t="shared" si="359"/>
        <v>4909.1692165085142</v>
      </c>
      <c r="V506" s="61">
        <f t="shared" si="360"/>
        <v>39273.353732068113</v>
      </c>
      <c r="X506" s="61">
        <f t="shared" si="361"/>
        <v>11091.874862916564</v>
      </c>
      <c r="Y506" s="61">
        <f t="shared" si="362"/>
        <v>2883887.4643583065</v>
      </c>
      <c r="Z506" s="61">
        <f t="shared" si="349"/>
        <v>464105.06889223069</v>
      </c>
      <c r="AA506" s="61">
        <f t="shared" si="350"/>
        <v>1298294.5745135387</v>
      </c>
    </row>
    <row r="507" spans="2:27" x14ac:dyDescent="0.2">
      <c r="B507" s="51">
        <f t="shared" si="363"/>
        <v>2043</v>
      </c>
      <c r="C507" s="51">
        <f t="shared" si="364"/>
        <v>28</v>
      </c>
      <c r="D507" s="51">
        <v>18</v>
      </c>
      <c r="E507" s="51">
        <v>24</v>
      </c>
      <c r="F507" s="51">
        <v>40</v>
      </c>
      <c r="G507" s="51">
        <f t="shared" si="351"/>
        <v>16</v>
      </c>
      <c r="H507" s="13">
        <v>30</v>
      </c>
      <c r="I507" s="51">
        <f t="shared" si="352"/>
        <v>480</v>
      </c>
      <c r="J507" s="115">
        <v>0.15</v>
      </c>
      <c r="L507" s="13">
        <v>2</v>
      </c>
      <c r="M507" s="51">
        <f t="shared" si="353"/>
        <v>32</v>
      </c>
      <c r="N507" s="102">
        <f t="shared" si="354"/>
        <v>110.08390183262324</v>
      </c>
      <c r="O507" s="116">
        <f t="shared" si="355"/>
        <v>28181.47886915155</v>
      </c>
      <c r="Q507" s="59">
        <f t="shared" si="356"/>
        <v>72</v>
      </c>
      <c r="R507" s="13">
        <v>2</v>
      </c>
      <c r="S507" s="51">
        <f t="shared" si="357"/>
        <v>144</v>
      </c>
      <c r="T507" s="61">
        <f t="shared" si="358"/>
        <v>34.091452892420236</v>
      </c>
      <c r="U507" s="61">
        <f t="shared" si="359"/>
        <v>4909.1692165085142</v>
      </c>
      <c r="V507" s="61">
        <f t="shared" si="360"/>
        <v>39273.353732068113</v>
      </c>
      <c r="X507" s="61">
        <f t="shared" si="361"/>
        <v>11091.874862916564</v>
      </c>
      <c r="Y507" s="61">
        <f t="shared" si="362"/>
        <v>2883887.4643583065</v>
      </c>
      <c r="Z507" s="61">
        <f t="shared" si="349"/>
        <v>433743.05503946799</v>
      </c>
      <c r="AA507" s="61">
        <f t="shared" si="350"/>
        <v>1260480.16943062</v>
      </c>
    </row>
    <row r="508" spans="2:27" x14ac:dyDescent="0.2">
      <c r="B508" s="51">
        <f t="shared" si="363"/>
        <v>2044</v>
      </c>
      <c r="C508" s="51">
        <f t="shared" si="364"/>
        <v>29</v>
      </c>
      <c r="D508" s="51">
        <v>18</v>
      </c>
      <c r="E508" s="51">
        <v>24</v>
      </c>
      <c r="F508" s="51">
        <v>40</v>
      </c>
      <c r="G508" s="51">
        <f t="shared" si="351"/>
        <v>16</v>
      </c>
      <c r="H508" s="13">
        <v>30</v>
      </c>
      <c r="I508" s="51">
        <f t="shared" si="352"/>
        <v>480</v>
      </c>
      <c r="J508" s="115">
        <v>0.15</v>
      </c>
      <c r="L508" s="13">
        <v>2</v>
      </c>
      <c r="M508" s="51">
        <f t="shared" si="353"/>
        <v>32</v>
      </c>
      <c r="N508" s="102">
        <f t="shared" si="354"/>
        <v>110.08390183262324</v>
      </c>
      <c r="O508" s="116">
        <f t="shared" si="355"/>
        <v>28181.47886915155</v>
      </c>
      <c r="Q508" s="59">
        <f t="shared" si="356"/>
        <v>72</v>
      </c>
      <c r="R508" s="13">
        <v>2</v>
      </c>
      <c r="S508" s="51">
        <f t="shared" si="357"/>
        <v>144</v>
      </c>
      <c r="T508" s="61">
        <f t="shared" si="358"/>
        <v>34.091452892420236</v>
      </c>
      <c r="U508" s="61">
        <f t="shared" si="359"/>
        <v>4909.1692165085142</v>
      </c>
      <c r="V508" s="61">
        <f t="shared" si="360"/>
        <v>39273.353732068113</v>
      </c>
      <c r="X508" s="61">
        <f t="shared" si="361"/>
        <v>11091.874862916564</v>
      </c>
      <c r="Y508" s="61">
        <f t="shared" si="362"/>
        <v>2883887.4643583065</v>
      </c>
      <c r="Z508" s="61">
        <f t="shared" si="349"/>
        <v>405367.34115838131</v>
      </c>
      <c r="AA508" s="61">
        <f t="shared" si="350"/>
        <v>1223767.1547870098</v>
      </c>
    </row>
    <row r="510" spans="2:27" x14ac:dyDescent="0.2">
      <c r="X510" s="15" t="s">
        <v>145</v>
      </c>
      <c r="Y510" s="32">
        <f>SUM(Y479:Y508)</f>
        <v>53351918.090628676</v>
      </c>
      <c r="Z510" s="32">
        <f>SUM(Z479:Z508)</f>
        <v>15454710.941568572</v>
      </c>
      <c r="AA510" s="32">
        <f>SUM(AA479:AA508)</f>
        <v>30343912.949460253</v>
      </c>
    </row>
  </sheetData>
  <dataValidations disablePrompts="1" count="1">
    <dataValidation type="list" allowBlank="1" showInputMessage="1" showErrorMessage="1" sqref="G55:G57 G295:G297 G307:G309 G67:G69 G79:G81 G91:G93 G103:G105 G115:G117 G127:G129 G139:G141 G151:G153 G163:G165 G175:G177 G187:G189 G199:G201 G211:G213 G223:G225 G235:G237 G247:G249 G259:G261 G271:G273 G283:G285 G319:G321">
      <formula1>CES_Pick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74"/>
  <sheetViews>
    <sheetView topLeftCell="A4" zoomScale="80" zoomScaleNormal="80" workbookViewId="0"/>
  </sheetViews>
  <sheetFormatPr defaultRowHeight="12.75" x14ac:dyDescent="0.2"/>
  <cols>
    <col min="1" max="1" width="1.7109375" style="94" customWidth="1"/>
    <col min="2" max="2" width="36.85546875" style="94" customWidth="1"/>
    <col min="3" max="4" width="9.140625" style="94"/>
    <col min="5" max="5" width="39.7109375" style="94" customWidth="1"/>
    <col min="6" max="12" width="9.140625" style="94"/>
    <col min="13" max="13" width="12" style="94" bestFit="1" customWidth="1"/>
    <col min="14" max="14" width="9.140625" style="94"/>
    <col min="15" max="15" width="13" style="94" bestFit="1" customWidth="1"/>
    <col min="16" max="16" width="9.140625" style="94"/>
    <col min="17" max="17" width="12.85546875" style="94" bestFit="1" customWidth="1"/>
    <col min="18" max="16384" width="9.140625" style="94"/>
  </cols>
  <sheetData>
    <row r="1" spans="2:17" ht="5.0999999999999996" customHeight="1" thickBot="1" x14ac:dyDescent="0.25">
      <c r="B1" s="124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2:17" ht="39" thickBot="1" x14ac:dyDescent="0.25">
      <c r="B2" s="123" t="s">
        <v>289</v>
      </c>
      <c r="C2" s="124" t="s">
        <v>290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2:17" ht="13.5" thickBot="1" x14ac:dyDescent="0.2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2:17" x14ac:dyDescent="0.2">
      <c r="B4" s="125" t="s">
        <v>291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2:17" x14ac:dyDescent="0.2">
      <c r="B5" s="128" t="s">
        <v>292</v>
      </c>
      <c r="C5" s="129">
        <v>1500</v>
      </c>
      <c r="D5" s="124" t="s">
        <v>293</v>
      </c>
      <c r="E5" s="124" t="s">
        <v>294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30"/>
    </row>
    <row r="6" spans="2:17" x14ac:dyDescent="0.2">
      <c r="B6" s="128" t="s">
        <v>295</v>
      </c>
      <c r="C6" s="129">
        <v>8.0000000000000002E-3</v>
      </c>
      <c r="D6" s="124" t="s">
        <v>296</v>
      </c>
      <c r="E6" s="124" t="s">
        <v>297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30"/>
    </row>
    <row r="7" spans="2:17" x14ac:dyDescent="0.2">
      <c r="B7" s="128" t="s">
        <v>298</v>
      </c>
      <c r="C7" s="129">
        <v>1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30"/>
    </row>
    <row r="8" spans="2:17" x14ac:dyDescent="0.2">
      <c r="B8" s="128" t="s">
        <v>299</v>
      </c>
      <c r="C8" s="129">
        <v>1.5</v>
      </c>
      <c r="D8" s="124" t="s">
        <v>300</v>
      </c>
      <c r="E8" s="124" t="s">
        <v>301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30"/>
    </row>
    <row r="9" spans="2:17" x14ac:dyDescent="0.2">
      <c r="B9" s="128" t="s">
        <v>302</v>
      </c>
      <c r="C9" s="129">
        <v>3138.1</v>
      </c>
      <c r="D9" s="124" t="s">
        <v>303</v>
      </c>
      <c r="E9" s="131" t="s">
        <v>304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30"/>
    </row>
    <row r="10" spans="2:17" x14ac:dyDescent="0.2">
      <c r="B10" s="128" t="s">
        <v>305</v>
      </c>
      <c r="C10" s="129">
        <v>0.97799999999999998</v>
      </c>
      <c r="D10" s="124" t="s">
        <v>306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30"/>
    </row>
    <row r="11" spans="2:17" x14ac:dyDescent="0.2">
      <c r="B11" s="128" t="s">
        <v>307</v>
      </c>
      <c r="C11" s="129">
        <v>2</v>
      </c>
      <c r="D11" s="124" t="s">
        <v>342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30"/>
    </row>
    <row r="12" spans="2:17" x14ac:dyDescent="0.2">
      <c r="B12" s="128" t="s">
        <v>308</v>
      </c>
      <c r="C12" s="129">
        <v>1.5E-5</v>
      </c>
      <c r="D12" s="124" t="s">
        <v>309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30"/>
    </row>
    <row r="13" spans="2:17" x14ac:dyDescent="0.2">
      <c r="B13" s="128" t="s">
        <v>310</v>
      </c>
      <c r="C13" s="129">
        <v>0.87</v>
      </c>
      <c r="D13" s="124" t="s">
        <v>311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30"/>
    </row>
    <row r="14" spans="2:17" x14ac:dyDescent="0.2">
      <c r="B14" s="128" t="s">
        <v>312</v>
      </c>
      <c r="C14" s="129">
        <v>3.67</v>
      </c>
      <c r="D14" s="124" t="s">
        <v>343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30"/>
    </row>
    <row r="15" spans="2:17" ht="13.5" thickBot="1" x14ac:dyDescent="0.25">
      <c r="B15" s="132" t="s">
        <v>313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/>
    </row>
    <row r="16" spans="2:17" ht="13.5" thickBot="1" x14ac:dyDescent="0.25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</row>
    <row r="17" spans="2:20" x14ac:dyDescent="0.2">
      <c r="B17" s="125" t="s">
        <v>314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R17" s="108"/>
      <c r="S17" s="108"/>
      <c r="T17" s="135"/>
    </row>
    <row r="18" spans="2:20" ht="38.25" x14ac:dyDescent="0.2">
      <c r="B18" s="136"/>
      <c r="C18" s="137" t="s">
        <v>315</v>
      </c>
      <c r="D18" s="129" t="s">
        <v>316</v>
      </c>
      <c r="E18" s="129" t="s">
        <v>317</v>
      </c>
      <c r="F18" s="129" t="s">
        <v>316</v>
      </c>
      <c r="G18" s="137" t="s">
        <v>318</v>
      </c>
      <c r="H18" s="129" t="s">
        <v>316</v>
      </c>
      <c r="I18" s="137" t="s">
        <v>319</v>
      </c>
      <c r="J18" s="129" t="s">
        <v>320</v>
      </c>
      <c r="K18" s="137" t="s">
        <v>321</v>
      </c>
      <c r="L18" s="108"/>
      <c r="M18" s="137" t="s">
        <v>322</v>
      </c>
      <c r="N18" s="108"/>
      <c r="O18" s="108"/>
      <c r="P18" s="108"/>
      <c r="Q18" s="130"/>
      <c r="R18" s="108"/>
      <c r="S18" s="108"/>
      <c r="T18" s="108"/>
    </row>
    <row r="19" spans="2:20" x14ac:dyDescent="0.2">
      <c r="B19" s="138" t="s">
        <v>344</v>
      </c>
      <c r="C19" s="129">
        <v>0.19</v>
      </c>
      <c r="D19" s="129"/>
      <c r="E19" s="129">
        <v>1</v>
      </c>
      <c r="F19" s="129"/>
      <c r="G19" s="129">
        <f>$C$5</f>
        <v>1500</v>
      </c>
      <c r="H19" s="129"/>
      <c r="I19" s="129">
        <f>$C$6</f>
        <v>8.0000000000000002E-3</v>
      </c>
      <c r="J19" s="108"/>
      <c r="K19" s="129">
        <f>C19*E19*G19*I19</f>
        <v>2.2800000000000002</v>
      </c>
      <c r="L19" s="129"/>
      <c r="M19" s="139">
        <f>K19/907200</f>
        <v>2.5132275132275136E-6</v>
      </c>
      <c r="N19" s="108"/>
      <c r="O19" s="108"/>
      <c r="P19" s="108"/>
      <c r="Q19" s="130"/>
      <c r="R19" s="108"/>
      <c r="S19" s="108"/>
      <c r="T19" s="108"/>
    </row>
    <row r="20" spans="2:20" x14ac:dyDescent="0.2">
      <c r="B20" s="138" t="s">
        <v>345</v>
      </c>
      <c r="C20" s="189" t="s">
        <v>323</v>
      </c>
      <c r="D20" s="189"/>
      <c r="E20" s="189"/>
      <c r="F20" s="189"/>
      <c r="G20" s="189"/>
      <c r="H20" s="189"/>
      <c r="I20" s="189"/>
      <c r="J20" s="108"/>
      <c r="K20" s="129">
        <f>K19*0.97</f>
        <v>2.2116000000000002</v>
      </c>
      <c r="L20" s="129"/>
      <c r="M20" s="139">
        <f t="shared" ref="M20:M23" si="0">K20/907200</f>
        <v>2.437830687830688E-6</v>
      </c>
      <c r="N20" s="108"/>
      <c r="O20" s="108"/>
      <c r="P20" s="108"/>
      <c r="Q20" s="130"/>
      <c r="R20" s="108"/>
      <c r="S20" s="108"/>
      <c r="T20" s="108"/>
    </row>
    <row r="21" spans="2:20" x14ac:dyDescent="0.2">
      <c r="B21" s="138" t="s">
        <v>201</v>
      </c>
      <c r="C21" s="129">
        <v>0.51</v>
      </c>
      <c r="D21" s="129"/>
      <c r="E21" s="129">
        <v>1</v>
      </c>
      <c r="F21" s="129"/>
      <c r="G21" s="129">
        <f>$C$5</f>
        <v>1500</v>
      </c>
      <c r="H21" s="129"/>
      <c r="I21" s="129">
        <f>$C$6</f>
        <v>8.0000000000000002E-3</v>
      </c>
      <c r="J21" s="108"/>
      <c r="K21" s="129">
        <f>C21*E21*G21*I21</f>
        <v>6.12</v>
      </c>
      <c r="L21" s="129"/>
      <c r="M21" s="139">
        <f t="shared" si="0"/>
        <v>6.746031746031746E-6</v>
      </c>
      <c r="N21" s="108"/>
      <c r="O21" s="108"/>
      <c r="P21" s="108"/>
      <c r="Q21" s="130"/>
      <c r="R21" s="108"/>
      <c r="S21" s="108"/>
      <c r="T21" s="108"/>
    </row>
    <row r="22" spans="2:20" x14ac:dyDescent="0.2">
      <c r="B22" s="138" t="s">
        <v>202</v>
      </c>
      <c r="C22" s="129">
        <v>7.3</v>
      </c>
      <c r="D22" s="129"/>
      <c r="E22" s="129">
        <v>1</v>
      </c>
      <c r="F22" s="129"/>
      <c r="G22" s="129">
        <f>$C$5</f>
        <v>1500</v>
      </c>
      <c r="H22" s="129"/>
      <c r="I22" s="129">
        <f>$C$6</f>
        <v>8.0000000000000002E-3</v>
      </c>
      <c r="J22" s="108"/>
      <c r="K22" s="129">
        <f>C22*E22*G22*I22</f>
        <v>87.600000000000009</v>
      </c>
      <c r="L22" s="129"/>
      <c r="M22" s="139">
        <f t="shared" si="0"/>
        <v>9.6560846560846567E-5</v>
      </c>
      <c r="N22" s="108"/>
      <c r="O22" s="108"/>
      <c r="P22" s="108"/>
      <c r="Q22" s="130"/>
      <c r="R22" s="108"/>
      <c r="S22" s="108"/>
      <c r="T22" s="108"/>
    </row>
    <row r="23" spans="2:20" x14ac:dyDescent="0.2">
      <c r="B23" s="138" t="s">
        <v>203</v>
      </c>
      <c r="C23" s="129">
        <v>1.83</v>
      </c>
      <c r="D23" s="129"/>
      <c r="E23" s="129">
        <v>1</v>
      </c>
      <c r="F23" s="129"/>
      <c r="G23" s="129">
        <f>$C$5</f>
        <v>1500</v>
      </c>
      <c r="H23" s="129"/>
      <c r="I23" s="129">
        <f>$C$6</f>
        <v>8.0000000000000002E-3</v>
      </c>
      <c r="J23" s="108"/>
      <c r="K23" s="129">
        <f>C23*E23*G23*I23</f>
        <v>21.96</v>
      </c>
      <c r="L23" s="129"/>
      <c r="M23" s="139">
        <f t="shared" si="0"/>
        <v>2.4206349206349206E-5</v>
      </c>
      <c r="N23" s="108"/>
      <c r="O23" s="108"/>
      <c r="P23" s="108"/>
      <c r="Q23" s="130"/>
      <c r="R23" s="108"/>
      <c r="S23" s="140"/>
      <c r="T23" s="108"/>
    </row>
    <row r="24" spans="2:20" x14ac:dyDescent="0.2">
      <c r="B24" s="141"/>
      <c r="C24" s="129"/>
      <c r="D24" s="129"/>
      <c r="E24" s="129"/>
      <c r="F24" s="129"/>
      <c r="G24" s="129"/>
      <c r="H24" s="129"/>
      <c r="I24" s="129"/>
      <c r="J24" s="108"/>
      <c r="K24" s="129"/>
      <c r="L24" s="129"/>
      <c r="M24" s="129"/>
      <c r="N24" s="108"/>
      <c r="O24" s="108"/>
      <c r="P24" s="108"/>
      <c r="Q24" s="130"/>
      <c r="R24" s="108"/>
      <c r="S24" s="108"/>
      <c r="T24" s="108"/>
    </row>
    <row r="25" spans="2:20" x14ac:dyDescent="0.2">
      <c r="B25" s="141"/>
      <c r="C25" s="129"/>
      <c r="D25" s="129"/>
      <c r="E25" s="129"/>
      <c r="F25" s="129"/>
      <c r="G25" s="129"/>
      <c r="H25" s="129"/>
      <c r="I25" s="129"/>
      <c r="J25" s="108"/>
      <c r="K25" s="129"/>
      <c r="L25" s="129"/>
      <c r="M25" s="129"/>
      <c r="N25" s="108"/>
      <c r="O25" s="108"/>
      <c r="P25" s="108"/>
      <c r="Q25" s="130"/>
      <c r="R25" s="108"/>
      <c r="S25" s="108"/>
      <c r="T25" s="108"/>
    </row>
    <row r="26" spans="2:20" x14ac:dyDescent="0.2">
      <c r="B26" s="136" t="s">
        <v>346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30"/>
      <c r="R26" s="108"/>
      <c r="S26" s="108"/>
      <c r="T26" s="108"/>
    </row>
    <row r="27" spans="2:20" ht="63.75" x14ac:dyDescent="0.2">
      <c r="B27" s="141"/>
      <c r="C27" s="137" t="s">
        <v>324</v>
      </c>
      <c r="D27" s="129" t="s">
        <v>316</v>
      </c>
      <c r="E27" s="137" t="s">
        <v>325</v>
      </c>
      <c r="F27" s="129" t="s">
        <v>316</v>
      </c>
      <c r="G27" s="137" t="s">
        <v>326</v>
      </c>
      <c r="H27" s="129" t="s">
        <v>316</v>
      </c>
      <c r="I27" s="137" t="s">
        <v>308</v>
      </c>
      <c r="J27" s="129" t="s">
        <v>320</v>
      </c>
      <c r="K27" s="137" t="s">
        <v>327</v>
      </c>
      <c r="L27" s="129" t="s">
        <v>316</v>
      </c>
      <c r="M27" s="137" t="s">
        <v>328</v>
      </c>
      <c r="N27" s="129" t="s">
        <v>320</v>
      </c>
      <c r="O27" s="137" t="s">
        <v>329</v>
      </c>
      <c r="P27" s="108"/>
      <c r="Q27" s="142" t="s">
        <v>322</v>
      </c>
      <c r="R27" s="108"/>
      <c r="S27" s="108"/>
      <c r="T27" s="108"/>
    </row>
    <row r="28" spans="2:20" x14ac:dyDescent="0.2">
      <c r="B28" s="138" t="s">
        <v>196</v>
      </c>
      <c r="C28" s="129">
        <f>C9</f>
        <v>3138.1</v>
      </c>
      <c r="D28" s="129"/>
      <c r="E28" s="129">
        <f>C10</f>
        <v>0.97799999999999998</v>
      </c>
      <c r="F28" s="129"/>
      <c r="G28" s="129">
        <f>C11</f>
        <v>2</v>
      </c>
      <c r="H28" s="129"/>
      <c r="I28" s="129">
        <f>C12</f>
        <v>1.5E-5</v>
      </c>
      <c r="J28" s="108"/>
      <c r="K28" s="129">
        <f>C28*E28*G28*I28</f>
        <v>9.2071853999999995E-2</v>
      </c>
      <c r="L28" s="129"/>
      <c r="M28" s="129">
        <f>C8</f>
        <v>1.5</v>
      </c>
      <c r="N28" s="108"/>
      <c r="O28" s="124">
        <f>K28*M28</f>
        <v>0.13810778099999999</v>
      </c>
      <c r="P28" s="108"/>
      <c r="Q28" s="143">
        <f>O28/907200</f>
        <v>1.5223520833333333E-7</v>
      </c>
      <c r="R28" s="108"/>
      <c r="S28" s="108"/>
      <c r="T28" s="108"/>
    </row>
    <row r="29" spans="2:20" x14ac:dyDescent="0.2">
      <c r="B29" s="141"/>
      <c r="C29" s="129"/>
      <c r="D29" s="129"/>
      <c r="E29" s="129"/>
      <c r="F29" s="129"/>
      <c r="G29" s="129"/>
      <c r="H29" s="129"/>
      <c r="I29" s="129"/>
      <c r="J29" s="108"/>
      <c r="K29" s="129"/>
      <c r="L29" s="129"/>
      <c r="M29" s="129"/>
      <c r="N29" s="108"/>
      <c r="O29" s="108"/>
      <c r="P29" s="108"/>
      <c r="Q29" s="144"/>
      <c r="R29" s="108"/>
      <c r="S29" s="108"/>
      <c r="T29" s="108"/>
    </row>
    <row r="30" spans="2:20" x14ac:dyDescent="0.2">
      <c r="B30" s="136" t="s">
        <v>347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30"/>
      <c r="R30" s="108"/>
      <c r="S30" s="108"/>
      <c r="T30" s="108"/>
    </row>
    <row r="31" spans="2:20" ht="76.5" x14ac:dyDescent="0.2">
      <c r="B31" s="141"/>
      <c r="C31" s="137" t="s">
        <v>324</v>
      </c>
      <c r="D31" s="129" t="s">
        <v>316</v>
      </c>
      <c r="E31" s="137" t="s">
        <v>348</v>
      </c>
      <c r="F31" s="129" t="s">
        <v>316</v>
      </c>
      <c r="G31" s="137" t="s">
        <v>330</v>
      </c>
      <c r="H31" s="129" t="s">
        <v>320</v>
      </c>
      <c r="I31" s="137" t="s">
        <v>327</v>
      </c>
      <c r="J31" s="129" t="s">
        <v>316</v>
      </c>
      <c r="K31" s="137" t="s">
        <v>328</v>
      </c>
      <c r="L31" s="129" t="s">
        <v>320</v>
      </c>
      <c r="M31" s="137" t="s">
        <v>329</v>
      </c>
      <c r="N31" s="108"/>
      <c r="O31" s="137" t="s">
        <v>322</v>
      </c>
      <c r="P31" s="108"/>
      <c r="Q31" s="130"/>
      <c r="R31" s="108"/>
      <c r="S31" s="108"/>
      <c r="T31" s="108"/>
    </row>
    <row r="32" spans="2:20" ht="13.5" thickBot="1" x14ac:dyDescent="0.25">
      <c r="B32" s="145" t="s">
        <v>197</v>
      </c>
      <c r="C32" s="146">
        <v>3138.1</v>
      </c>
      <c r="D32" s="146"/>
      <c r="E32" s="146">
        <f>C14</f>
        <v>3.67</v>
      </c>
      <c r="F32" s="146"/>
      <c r="G32" s="146">
        <f>C13</f>
        <v>0.87</v>
      </c>
      <c r="H32" s="133"/>
      <c r="I32" s="146">
        <f>C32*E32*G32</f>
        <v>10019.63949</v>
      </c>
      <c r="J32" s="146"/>
      <c r="K32" s="146">
        <f>C8</f>
        <v>1.5</v>
      </c>
      <c r="L32" s="133"/>
      <c r="M32" s="133">
        <f>I32*K32</f>
        <v>15029.459234999998</v>
      </c>
      <c r="N32" s="133"/>
      <c r="O32" s="147">
        <f>M32/907200</f>
        <v>1.656686423611111E-2</v>
      </c>
      <c r="P32" s="133"/>
      <c r="Q32" s="134"/>
      <c r="R32" s="108"/>
      <c r="S32" s="108"/>
      <c r="T32" s="108"/>
    </row>
    <row r="33" spans="3:9" x14ac:dyDescent="0.2">
      <c r="C33" s="129"/>
      <c r="D33" s="129"/>
      <c r="E33" s="129"/>
      <c r="F33" s="129"/>
      <c r="G33" s="129"/>
      <c r="H33" s="129"/>
      <c r="I33" s="129"/>
    </row>
    <row r="34" spans="3:9" x14ac:dyDescent="0.2">
      <c r="C34" s="129"/>
      <c r="D34" s="129"/>
      <c r="E34" s="129"/>
      <c r="F34" s="129"/>
      <c r="G34" s="129"/>
      <c r="H34" s="129"/>
      <c r="I34" s="129"/>
    </row>
    <row r="36" spans="3:9" ht="13.5" thickBot="1" x14ac:dyDescent="0.25">
      <c r="C36" s="108"/>
      <c r="D36" s="108"/>
      <c r="E36" s="108"/>
      <c r="F36" s="108"/>
      <c r="G36" s="108"/>
      <c r="H36" s="108"/>
      <c r="I36" s="108"/>
    </row>
    <row r="37" spans="3:9" ht="13.5" thickBot="1" x14ac:dyDescent="0.25">
      <c r="C37" s="108"/>
      <c r="D37" s="148" t="s">
        <v>231</v>
      </c>
      <c r="E37" s="149" t="s">
        <v>185</v>
      </c>
      <c r="F37" s="108"/>
      <c r="G37" s="108"/>
      <c r="H37" s="108"/>
      <c r="I37" s="108"/>
    </row>
    <row r="38" spans="3:9" x14ac:dyDescent="0.2">
      <c r="C38" s="108"/>
      <c r="D38" s="150" t="s">
        <v>344</v>
      </c>
      <c r="E38" s="151">
        <f>M19</f>
        <v>2.5132275132275136E-6</v>
      </c>
      <c r="F38" s="108"/>
      <c r="G38" s="108"/>
      <c r="H38" s="108"/>
      <c r="I38" s="108"/>
    </row>
    <row r="39" spans="3:9" x14ac:dyDescent="0.2">
      <c r="C39" s="108"/>
      <c r="D39" s="152" t="s">
        <v>345</v>
      </c>
      <c r="E39" s="151">
        <f t="shared" ref="E39:E42" si="1">M20</f>
        <v>2.437830687830688E-6</v>
      </c>
      <c r="F39" s="108"/>
      <c r="G39" s="108"/>
      <c r="H39" s="108"/>
      <c r="I39" s="108"/>
    </row>
    <row r="40" spans="3:9" x14ac:dyDescent="0.2">
      <c r="C40" s="108"/>
      <c r="D40" s="152" t="s">
        <v>201</v>
      </c>
      <c r="E40" s="151">
        <f t="shared" si="1"/>
        <v>6.746031746031746E-6</v>
      </c>
      <c r="F40" s="108"/>
      <c r="G40" s="108"/>
      <c r="H40" s="108"/>
      <c r="I40" s="108"/>
    </row>
    <row r="41" spans="3:9" x14ac:dyDescent="0.2">
      <c r="C41" s="108"/>
      <c r="D41" s="152" t="s">
        <v>202</v>
      </c>
      <c r="E41" s="151">
        <f t="shared" si="1"/>
        <v>9.6560846560846567E-5</v>
      </c>
      <c r="F41" s="108"/>
      <c r="G41" s="108"/>
      <c r="H41" s="108"/>
      <c r="I41" s="108"/>
    </row>
    <row r="42" spans="3:9" x14ac:dyDescent="0.2">
      <c r="C42" s="108"/>
      <c r="D42" s="152" t="s">
        <v>203</v>
      </c>
      <c r="E42" s="151">
        <f t="shared" si="1"/>
        <v>2.4206349206349206E-5</v>
      </c>
      <c r="F42" s="108"/>
      <c r="G42" s="108"/>
      <c r="H42" s="108"/>
      <c r="I42" s="108"/>
    </row>
    <row r="43" spans="3:9" x14ac:dyDescent="0.2">
      <c r="C43" s="108"/>
      <c r="D43" s="152" t="s">
        <v>349</v>
      </c>
      <c r="E43" s="151">
        <f>Q28</f>
        <v>1.5223520833333333E-7</v>
      </c>
      <c r="F43" s="108"/>
      <c r="G43" s="108"/>
      <c r="H43" s="108"/>
      <c r="I43" s="108"/>
    </row>
    <row r="44" spans="3:9" ht="13.5" thickBot="1" x14ac:dyDescent="0.25">
      <c r="C44" s="108"/>
      <c r="D44" s="153" t="s">
        <v>350</v>
      </c>
      <c r="E44" s="151">
        <f>O32</f>
        <v>1.656686423611111E-2</v>
      </c>
      <c r="F44" s="108"/>
      <c r="G44" s="108"/>
      <c r="H44" s="108"/>
      <c r="I44" s="108"/>
    </row>
    <row r="47" spans="3:9" x14ac:dyDescent="0.2">
      <c r="C47" s="154"/>
      <c r="D47" s="154"/>
      <c r="E47" s="154"/>
      <c r="F47" s="154"/>
      <c r="G47" s="154"/>
      <c r="H47" s="154"/>
      <c r="I47" s="154"/>
    </row>
    <row r="48" spans="3:9" x14ac:dyDescent="0.2">
      <c r="C48" s="154"/>
      <c r="D48" s="154"/>
      <c r="E48" s="154"/>
      <c r="F48" s="154"/>
      <c r="G48" s="154"/>
      <c r="H48" s="154"/>
      <c r="I48" s="154"/>
    </row>
    <row r="52" spans="2:11" x14ac:dyDescent="0.2">
      <c r="B52" s="108"/>
      <c r="C52" s="124" t="s">
        <v>331</v>
      </c>
      <c r="D52" s="108"/>
      <c r="E52" s="108"/>
      <c r="F52" s="108"/>
      <c r="G52" s="108"/>
      <c r="H52" s="108"/>
      <c r="I52" s="108"/>
      <c r="J52" s="108"/>
      <c r="K52" s="108"/>
    </row>
    <row r="53" spans="2:11" x14ac:dyDescent="0.2">
      <c r="B53" s="124" t="s">
        <v>332</v>
      </c>
      <c r="C53" s="108"/>
      <c r="D53" s="108"/>
      <c r="E53" s="108"/>
      <c r="F53" s="108"/>
      <c r="G53" s="108"/>
      <c r="H53" s="108"/>
      <c r="I53" s="108"/>
      <c r="J53" s="108"/>
      <c r="K53" s="108"/>
    </row>
    <row r="54" spans="2:11" x14ac:dyDescent="0.2">
      <c r="B54" s="124" t="s">
        <v>333</v>
      </c>
      <c r="C54" s="108"/>
      <c r="D54" s="108"/>
      <c r="E54" s="108"/>
      <c r="F54" s="108"/>
      <c r="G54" s="108"/>
      <c r="H54" s="108"/>
      <c r="I54" s="108"/>
      <c r="J54" s="108"/>
      <c r="K54" s="108"/>
    </row>
    <row r="55" spans="2:11" x14ac:dyDescent="0.2">
      <c r="B55" s="124" t="s">
        <v>334</v>
      </c>
      <c r="C55" s="108"/>
      <c r="D55" s="108"/>
      <c r="E55" s="108"/>
      <c r="F55" s="108"/>
      <c r="G55" s="108"/>
      <c r="H55" s="108"/>
      <c r="I55" s="108"/>
      <c r="J55" s="108"/>
      <c r="K55" s="108"/>
    </row>
    <row r="56" spans="2:11" x14ac:dyDescent="0.2">
      <c r="B56" s="108"/>
      <c r="C56" s="124" t="s">
        <v>335</v>
      </c>
      <c r="D56" s="124" t="s">
        <v>194</v>
      </c>
      <c r="E56" s="124" t="s">
        <v>203</v>
      </c>
      <c r="F56" s="124" t="s">
        <v>238</v>
      </c>
      <c r="G56" s="108"/>
      <c r="H56" s="108"/>
      <c r="I56" s="108"/>
      <c r="J56" s="108"/>
      <c r="K56" s="108"/>
    </row>
    <row r="57" spans="2:11" x14ac:dyDescent="0.2">
      <c r="B57" s="108"/>
      <c r="C57" s="124">
        <v>2.2799999999999998</v>
      </c>
      <c r="D57" s="124">
        <v>0.2266</v>
      </c>
      <c r="E57" s="124">
        <v>15.5</v>
      </c>
      <c r="F57" s="124">
        <v>0.1</v>
      </c>
      <c r="G57" s="108"/>
      <c r="H57" s="108"/>
      <c r="I57" s="108"/>
      <c r="J57" s="108"/>
      <c r="K57" s="108"/>
    </row>
    <row r="59" spans="2:11" x14ac:dyDescent="0.2">
      <c r="B59" s="124" t="s">
        <v>336</v>
      </c>
      <c r="C59" s="108"/>
      <c r="D59" s="108"/>
      <c r="E59" s="108"/>
      <c r="F59" s="108"/>
      <c r="G59" s="108"/>
      <c r="H59" s="108"/>
      <c r="I59" s="108"/>
      <c r="J59" s="108"/>
      <c r="K59" s="108"/>
    </row>
    <row r="60" spans="2:11" ht="51" x14ac:dyDescent="0.2">
      <c r="B60" s="108"/>
      <c r="C60" s="137" t="s">
        <v>337</v>
      </c>
      <c r="D60" s="129" t="s">
        <v>316</v>
      </c>
      <c r="E60" s="137" t="s">
        <v>292</v>
      </c>
      <c r="F60" s="129" t="s">
        <v>316</v>
      </c>
      <c r="G60" s="129" t="s">
        <v>298</v>
      </c>
      <c r="H60" s="129" t="s">
        <v>320</v>
      </c>
      <c r="I60" s="137" t="s">
        <v>321</v>
      </c>
      <c r="J60" s="129"/>
      <c r="K60" s="137" t="s">
        <v>338</v>
      </c>
    </row>
    <row r="61" spans="2:11" x14ac:dyDescent="0.2">
      <c r="B61" s="124" t="s">
        <v>202</v>
      </c>
      <c r="C61" s="129">
        <f>C57</f>
        <v>2.2799999999999998</v>
      </c>
      <c r="D61" s="129"/>
      <c r="E61" s="129">
        <v>460</v>
      </c>
      <c r="F61" s="129"/>
      <c r="G61" s="129">
        <v>1</v>
      </c>
      <c r="H61" s="129"/>
      <c r="I61" s="129">
        <f>C61*E61*G61</f>
        <v>1048.8</v>
      </c>
      <c r="J61" s="129"/>
      <c r="K61" s="155">
        <f>I61/907200</f>
        <v>1.1560846560846559E-3</v>
      </c>
    </row>
    <row r="62" spans="2:11" x14ac:dyDescent="0.2">
      <c r="B62" s="124" t="s">
        <v>194</v>
      </c>
      <c r="C62" s="129">
        <f>D57</f>
        <v>0.2266</v>
      </c>
      <c r="D62" s="129"/>
      <c r="E62" s="129">
        <v>460</v>
      </c>
      <c r="F62" s="129"/>
      <c r="G62" s="129">
        <v>1</v>
      </c>
      <c r="H62" s="129"/>
      <c r="I62" s="129">
        <f t="shared" ref="I62:I64" si="2">C62*E62*G62</f>
        <v>104.236</v>
      </c>
      <c r="J62" s="129"/>
      <c r="K62" s="155">
        <f t="shared" ref="K62:K65" si="3">I62/907200</f>
        <v>1.1489858906525573E-4</v>
      </c>
    </row>
    <row r="63" spans="2:11" x14ac:dyDescent="0.2">
      <c r="B63" s="124" t="s">
        <v>203</v>
      </c>
      <c r="C63" s="129">
        <f>E57</f>
        <v>15.5</v>
      </c>
      <c r="D63" s="129"/>
      <c r="E63" s="129">
        <v>460</v>
      </c>
      <c r="F63" s="129"/>
      <c r="G63" s="129">
        <v>1</v>
      </c>
      <c r="H63" s="129"/>
      <c r="I63" s="129">
        <f t="shared" si="2"/>
        <v>7130</v>
      </c>
      <c r="J63" s="129"/>
      <c r="K63" s="155">
        <f t="shared" si="3"/>
        <v>7.8593474426807766E-3</v>
      </c>
    </row>
    <row r="64" spans="2:11" x14ac:dyDescent="0.2">
      <c r="B64" s="124" t="s">
        <v>238</v>
      </c>
      <c r="C64" s="129">
        <f>F57</f>
        <v>0.1</v>
      </c>
      <c r="D64" s="129"/>
      <c r="E64" s="129">
        <v>460</v>
      </c>
      <c r="F64" s="129"/>
      <c r="G64" s="129">
        <v>1</v>
      </c>
      <c r="H64" s="129"/>
      <c r="I64" s="129">
        <f t="shared" si="2"/>
        <v>46</v>
      </c>
      <c r="J64" s="129"/>
      <c r="K64" s="155">
        <f t="shared" si="3"/>
        <v>5.070546737213404E-5</v>
      </c>
    </row>
    <row r="65" spans="2:11" x14ac:dyDescent="0.2">
      <c r="B65" s="124" t="s">
        <v>239</v>
      </c>
      <c r="C65" s="190" t="s">
        <v>339</v>
      </c>
      <c r="D65" s="190"/>
      <c r="E65" s="190"/>
      <c r="F65" s="190"/>
      <c r="G65" s="190"/>
      <c r="H65" s="129"/>
      <c r="I65" s="129">
        <f>I64*0.97</f>
        <v>44.62</v>
      </c>
      <c r="J65" s="129"/>
      <c r="K65" s="155">
        <f t="shared" si="3"/>
        <v>4.9184303350970017E-5</v>
      </c>
    </row>
    <row r="68" spans="2:11" ht="13.5" thickBot="1" x14ac:dyDescent="0.25">
      <c r="B68" s="108"/>
      <c r="C68" s="108"/>
      <c r="D68" s="108"/>
      <c r="E68" s="124" t="s">
        <v>340</v>
      </c>
      <c r="F68" s="108"/>
      <c r="G68" s="108"/>
      <c r="H68" s="108"/>
      <c r="I68" s="108"/>
      <c r="J68" s="108"/>
      <c r="K68" s="108"/>
    </row>
    <row r="69" spans="2:11" ht="39" thickBot="1" x14ac:dyDescent="0.25">
      <c r="B69" s="108"/>
      <c r="C69" s="108"/>
      <c r="D69" s="108"/>
      <c r="E69" s="156" t="s">
        <v>231</v>
      </c>
      <c r="F69" s="157" t="s">
        <v>341</v>
      </c>
      <c r="G69" s="108"/>
      <c r="H69" s="108"/>
      <c r="I69" s="108"/>
      <c r="J69" s="108"/>
      <c r="K69" s="108"/>
    </row>
    <row r="70" spans="2:11" x14ac:dyDescent="0.2">
      <c r="B70" s="108"/>
      <c r="C70" s="108"/>
      <c r="D70" s="108"/>
      <c r="E70" s="158" t="s">
        <v>202</v>
      </c>
      <c r="F70" s="159">
        <v>1.1560846560846559E-3</v>
      </c>
      <c r="G70" s="108"/>
      <c r="H70" s="108"/>
      <c r="I70" s="108"/>
      <c r="J70" s="108"/>
      <c r="K70" s="108"/>
    </row>
    <row r="71" spans="2:11" x14ac:dyDescent="0.2">
      <c r="B71" s="108"/>
      <c r="C71" s="108"/>
      <c r="D71" s="108"/>
      <c r="E71" s="160" t="s">
        <v>194</v>
      </c>
      <c r="F71" s="161">
        <v>1.1489858906525573E-4</v>
      </c>
      <c r="G71" s="108"/>
      <c r="H71" s="108"/>
      <c r="I71" s="108"/>
      <c r="J71" s="108"/>
      <c r="K71" s="108"/>
    </row>
    <row r="72" spans="2:11" x14ac:dyDescent="0.2">
      <c r="B72" s="108"/>
      <c r="C72" s="108"/>
      <c r="D72" s="108"/>
      <c r="E72" s="160" t="s">
        <v>203</v>
      </c>
      <c r="F72" s="161">
        <v>7.8593474426807766E-3</v>
      </c>
      <c r="G72" s="108"/>
      <c r="H72" s="108"/>
      <c r="I72" s="108"/>
      <c r="J72" s="108"/>
      <c r="K72" s="108"/>
    </row>
    <row r="73" spans="2:11" x14ac:dyDescent="0.2">
      <c r="B73" s="108"/>
      <c r="C73" s="108"/>
      <c r="D73" s="108"/>
      <c r="E73" s="160" t="s">
        <v>238</v>
      </c>
      <c r="F73" s="162">
        <v>5.070546737213404E-5</v>
      </c>
      <c r="G73" s="108"/>
      <c r="H73" s="108"/>
      <c r="I73" s="108"/>
      <c r="J73" s="108"/>
      <c r="K73" s="108"/>
    </row>
    <row r="74" spans="2:11" ht="13.5" thickBot="1" x14ac:dyDescent="0.25">
      <c r="B74" s="108"/>
      <c r="C74" s="108"/>
      <c r="D74" s="108"/>
      <c r="E74" s="163" t="s">
        <v>239</v>
      </c>
      <c r="F74" s="164">
        <v>4.9184303350970017E-5</v>
      </c>
      <c r="G74" s="108"/>
      <c r="H74" s="108"/>
      <c r="I74" s="108"/>
      <c r="J74" s="108"/>
      <c r="K74" s="108"/>
    </row>
  </sheetData>
  <mergeCells count="2">
    <mergeCell ref="C20:I20"/>
    <mergeCell ref="C65:G6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T44"/>
  <sheetViews>
    <sheetView zoomScale="80" zoomScaleNormal="80" workbookViewId="0"/>
  </sheetViews>
  <sheetFormatPr defaultRowHeight="12.75" x14ac:dyDescent="0.2"/>
  <cols>
    <col min="1" max="1" width="1.7109375" style="124" customWidth="1"/>
    <col min="2" max="2" width="36.140625" style="124" customWidth="1"/>
    <col min="3" max="3" width="10.28515625" style="124" customWidth="1"/>
    <col min="4" max="4" width="9.140625" style="124"/>
    <col min="5" max="5" width="19.28515625" style="124" customWidth="1"/>
    <col min="6" max="6" width="9.140625" style="124"/>
    <col min="7" max="7" width="9.7109375" style="124" customWidth="1"/>
    <col min="8" max="8" width="9.140625" style="124"/>
    <col min="9" max="9" width="10.7109375" style="124" customWidth="1"/>
    <col min="10" max="12" width="9.140625" style="124"/>
    <col min="13" max="13" width="17.140625" style="124" customWidth="1"/>
    <col min="14" max="14" width="9.140625" style="124"/>
    <col min="15" max="15" width="13.7109375" style="124" customWidth="1"/>
    <col min="16" max="16" width="9.140625" style="124"/>
    <col min="17" max="17" width="13.42578125" style="124" customWidth="1"/>
    <col min="18" max="16384" width="9.140625" style="124"/>
  </cols>
  <sheetData>
    <row r="1" spans="2:17" ht="5.0999999999999996" customHeight="1" thickBot="1" x14ac:dyDescent="0.25"/>
    <row r="2" spans="2:17" ht="39" thickBot="1" x14ac:dyDescent="0.25">
      <c r="B2" s="123" t="s">
        <v>289</v>
      </c>
      <c r="C2" s="124" t="s">
        <v>290</v>
      </c>
    </row>
    <row r="3" spans="2:17" ht="13.5" thickBot="1" x14ac:dyDescent="0.25"/>
    <row r="4" spans="2:17" x14ac:dyDescent="0.2">
      <c r="B4" s="125" t="s">
        <v>291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2:17" x14ac:dyDescent="0.2">
      <c r="B5" s="128" t="s">
        <v>292</v>
      </c>
      <c r="C5" s="129">
        <v>1500</v>
      </c>
      <c r="D5" s="124" t="s">
        <v>293</v>
      </c>
      <c r="E5" s="124" t="s">
        <v>294</v>
      </c>
      <c r="Q5" s="130"/>
    </row>
    <row r="6" spans="2:17" x14ac:dyDescent="0.2">
      <c r="B6" s="128" t="s">
        <v>295</v>
      </c>
      <c r="C6" s="129">
        <v>8.0000000000000002E-3</v>
      </c>
      <c r="D6" s="124" t="s">
        <v>296</v>
      </c>
      <c r="E6" s="124" t="s">
        <v>297</v>
      </c>
      <c r="Q6" s="130"/>
    </row>
    <row r="7" spans="2:17" x14ac:dyDescent="0.2">
      <c r="B7" s="128" t="s">
        <v>298</v>
      </c>
      <c r="C7" s="129">
        <v>1</v>
      </c>
      <c r="Q7" s="130"/>
    </row>
    <row r="8" spans="2:17" x14ac:dyDescent="0.2">
      <c r="B8" s="128" t="s">
        <v>299</v>
      </c>
      <c r="C8" s="129">
        <v>1.5</v>
      </c>
      <c r="D8" s="124" t="s">
        <v>300</v>
      </c>
      <c r="E8" s="124" t="s">
        <v>301</v>
      </c>
      <c r="Q8" s="130"/>
    </row>
    <row r="9" spans="2:17" x14ac:dyDescent="0.2">
      <c r="B9" s="128" t="s">
        <v>302</v>
      </c>
      <c r="C9" s="129">
        <v>3138.1</v>
      </c>
      <c r="D9" s="124" t="s">
        <v>303</v>
      </c>
      <c r="E9" s="131" t="s">
        <v>304</v>
      </c>
      <c r="Q9" s="130"/>
    </row>
    <row r="10" spans="2:17" x14ac:dyDescent="0.2">
      <c r="B10" s="128" t="s">
        <v>305</v>
      </c>
      <c r="C10" s="129">
        <v>0.97799999999999998</v>
      </c>
      <c r="D10" s="124" t="s">
        <v>306</v>
      </c>
      <c r="Q10" s="130"/>
    </row>
    <row r="11" spans="2:17" x14ac:dyDescent="0.2">
      <c r="B11" s="128" t="s">
        <v>307</v>
      </c>
      <c r="C11" s="129">
        <v>2</v>
      </c>
      <c r="D11" s="124" t="s">
        <v>342</v>
      </c>
      <c r="Q11" s="130"/>
    </row>
    <row r="12" spans="2:17" x14ac:dyDescent="0.2">
      <c r="B12" s="128" t="s">
        <v>308</v>
      </c>
      <c r="C12" s="129">
        <v>1.5E-5</v>
      </c>
      <c r="D12" s="124" t="s">
        <v>309</v>
      </c>
      <c r="Q12" s="130"/>
    </row>
    <row r="13" spans="2:17" x14ac:dyDescent="0.2">
      <c r="B13" s="128" t="s">
        <v>310</v>
      </c>
      <c r="C13" s="129">
        <v>0.87</v>
      </c>
      <c r="D13" s="124" t="s">
        <v>311</v>
      </c>
      <c r="Q13" s="130"/>
    </row>
    <row r="14" spans="2:17" x14ac:dyDescent="0.2">
      <c r="B14" s="128" t="s">
        <v>312</v>
      </c>
      <c r="C14" s="129">
        <v>3.67</v>
      </c>
      <c r="D14" s="124" t="s">
        <v>343</v>
      </c>
      <c r="Q14" s="130"/>
    </row>
    <row r="15" spans="2:17" ht="13.5" thickBot="1" x14ac:dyDescent="0.25">
      <c r="B15" s="132" t="s">
        <v>313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/>
    </row>
    <row r="16" spans="2:17" ht="13.5" thickBot="1" x14ac:dyDescent="0.25"/>
    <row r="17" spans="2:20" x14ac:dyDescent="0.2">
      <c r="B17" s="125" t="s">
        <v>314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  <c r="T17" s="135"/>
    </row>
    <row r="18" spans="2:20" ht="38.25" x14ac:dyDescent="0.2">
      <c r="B18" s="136"/>
      <c r="C18" s="137" t="s">
        <v>315</v>
      </c>
      <c r="D18" s="129" t="s">
        <v>316</v>
      </c>
      <c r="E18" s="129" t="s">
        <v>317</v>
      </c>
      <c r="F18" s="129" t="s">
        <v>316</v>
      </c>
      <c r="G18" s="137" t="s">
        <v>318</v>
      </c>
      <c r="H18" s="129" t="s">
        <v>316</v>
      </c>
      <c r="I18" s="137" t="s">
        <v>319</v>
      </c>
      <c r="J18" s="129" t="s">
        <v>320</v>
      </c>
      <c r="K18" s="137" t="s">
        <v>321</v>
      </c>
      <c r="M18" s="137" t="s">
        <v>322</v>
      </c>
      <c r="Q18" s="130"/>
    </row>
    <row r="19" spans="2:20" x14ac:dyDescent="0.2">
      <c r="B19" s="138" t="s">
        <v>344</v>
      </c>
      <c r="C19" s="129">
        <v>0.19</v>
      </c>
      <c r="D19" s="129"/>
      <c r="E19" s="129">
        <f>$C$7</f>
        <v>1</v>
      </c>
      <c r="F19" s="129"/>
      <c r="G19" s="129">
        <f>$C$5</f>
        <v>1500</v>
      </c>
      <c r="H19" s="129"/>
      <c r="I19" s="129">
        <f>$C$6</f>
        <v>8.0000000000000002E-3</v>
      </c>
      <c r="K19" s="129">
        <f>C19*E19*G19*I19</f>
        <v>2.2800000000000002</v>
      </c>
      <c r="L19" s="129"/>
      <c r="M19" s="139">
        <f>K19/907200</f>
        <v>2.5132275132275136E-6</v>
      </c>
      <c r="Q19" s="130"/>
    </row>
    <row r="20" spans="2:20" x14ac:dyDescent="0.2">
      <c r="B20" s="138" t="s">
        <v>345</v>
      </c>
      <c r="C20" s="189" t="s">
        <v>323</v>
      </c>
      <c r="D20" s="189"/>
      <c r="E20" s="189"/>
      <c r="F20" s="189"/>
      <c r="G20" s="189"/>
      <c r="H20" s="189"/>
      <c r="I20" s="189"/>
      <c r="K20" s="129">
        <f>K19*0.97</f>
        <v>2.2116000000000002</v>
      </c>
      <c r="L20" s="129"/>
      <c r="M20" s="139">
        <f>K20/907200</f>
        <v>2.437830687830688E-6</v>
      </c>
      <c r="Q20" s="130"/>
    </row>
    <row r="21" spans="2:20" x14ac:dyDescent="0.2">
      <c r="B21" s="138" t="s">
        <v>201</v>
      </c>
      <c r="C21" s="129">
        <v>0.51</v>
      </c>
      <c r="D21" s="129"/>
      <c r="E21" s="129">
        <f>$C$7</f>
        <v>1</v>
      </c>
      <c r="F21" s="129"/>
      <c r="G21" s="129">
        <f>$C$5</f>
        <v>1500</v>
      </c>
      <c r="H21" s="129"/>
      <c r="I21" s="129">
        <f>$C$6</f>
        <v>8.0000000000000002E-3</v>
      </c>
      <c r="K21" s="129">
        <f>C21*E21*G21*I21</f>
        <v>6.12</v>
      </c>
      <c r="L21" s="129"/>
      <c r="M21" s="139">
        <f>K21/907200</f>
        <v>6.746031746031746E-6</v>
      </c>
      <c r="Q21" s="130"/>
    </row>
    <row r="22" spans="2:20" x14ac:dyDescent="0.2">
      <c r="B22" s="138" t="s">
        <v>202</v>
      </c>
      <c r="C22" s="129">
        <v>7.3</v>
      </c>
      <c r="D22" s="129"/>
      <c r="E22" s="129">
        <f>$C$7</f>
        <v>1</v>
      </c>
      <c r="F22" s="129"/>
      <c r="G22" s="129">
        <f>$C$5</f>
        <v>1500</v>
      </c>
      <c r="H22" s="129"/>
      <c r="I22" s="129">
        <f>$C$6</f>
        <v>8.0000000000000002E-3</v>
      </c>
      <c r="K22" s="129">
        <f>C22*E22*G22*I22</f>
        <v>87.600000000000009</v>
      </c>
      <c r="L22" s="129"/>
      <c r="M22" s="139">
        <f>K22/907200</f>
        <v>9.6560846560846567E-5</v>
      </c>
      <c r="Q22" s="130"/>
    </row>
    <row r="23" spans="2:20" x14ac:dyDescent="0.2">
      <c r="B23" s="138" t="s">
        <v>203</v>
      </c>
      <c r="C23" s="129">
        <v>1.83</v>
      </c>
      <c r="D23" s="129"/>
      <c r="E23" s="129">
        <f>$C$7</f>
        <v>1</v>
      </c>
      <c r="F23" s="129"/>
      <c r="G23" s="129">
        <f>$C$5</f>
        <v>1500</v>
      </c>
      <c r="H23" s="129"/>
      <c r="I23" s="129">
        <f>$C$6</f>
        <v>8.0000000000000002E-3</v>
      </c>
      <c r="K23" s="129">
        <f>C23*E23*G23*I23</f>
        <v>21.96</v>
      </c>
      <c r="L23" s="129"/>
      <c r="M23" s="139">
        <f>K23/907200</f>
        <v>2.4206349206349206E-5</v>
      </c>
      <c r="Q23" s="130"/>
      <c r="S23" s="140"/>
    </row>
    <row r="24" spans="2:20" x14ac:dyDescent="0.2">
      <c r="B24" s="141"/>
      <c r="C24" s="129"/>
      <c r="D24" s="129"/>
      <c r="E24" s="129"/>
      <c r="F24" s="129"/>
      <c r="G24" s="129"/>
      <c r="H24" s="129"/>
      <c r="I24" s="129"/>
      <c r="K24" s="129"/>
      <c r="L24" s="129"/>
      <c r="M24" s="129"/>
      <c r="Q24" s="130"/>
    </row>
    <row r="25" spans="2:20" x14ac:dyDescent="0.2">
      <c r="B25" s="141"/>
      <c r="C25" s="129"/>
      <c r="D25" s="129"/>
      <c r="E25" s="129"/>
      <c r="F25" s="129"/>
      <c r="G25" s="129"/>
      <c r="H25" s="129"/>
      <c r="I25" s="129"/>
      <c r="K25" s="129"/>
      <c r="L25" s="129"/>
      <c r="M25" s="129"/>
      <c r="Q25" s="130"/>
    </row>
    <row r="26" spans="2:20" x14ac:dyDescent="0.2">
      <c r="B26" s="136" t="s">
        <v>346</v>
      </c>
      <c r="Q26" s="130"/>
    </row>
    <row r="27" spans="2:20" ht="51" x14ac:dyDescent="0.2">
      <c r="B27" s="141"/>
      <c r="C27" s="137" t="s">
        <v>324</v>
      </c>
      <c r="D27" s="129" t="s">
        <v>316</v>
      </c>
      <c r="E27" s="137" t="s">
        <v>325</v>
      </c>
      <c r="F27" s="129" t="s">
        <v>316</v>
      </c>
      <c r="G27" s="137" t="s">
        <v>326</v>
      </c>
      <c r="H27" s="129" t="s">
        <v>316</v>
      </c>
      <c r="I27" s="137" t="s">
        <v>308</v>
      </c>
      <c r="J27" s="129" t="s">
        <v>320</v>
      </c>
      <c r="K27" s="137" t="s">
        <v>327</v>
      </c>
      <c r="L27" s="129" t="s">
        <v>316</v>
      </c>
      <c r="M27" s="137" t="s">
        <v>328</v>
      </c>
      <c r="N27" s="129" t="s">
        <v>320</v>
      </c>
      <c r="O27" s="137" t="s">
        <v>329</v>
      </c>
      <c r="Q27" s="142" t="s">
        <v>322</v>
      </c>
    </row>
    <row r="28" spans="2:20" x14ac:dyDescent="0.2">
      <c r="B28" s="138" t="s">
        <v>196</v>
      </c>
      <c r="C28" s="129">
        <f>C9</f>
        <v>3138.1</v>
      </c>
      <c r="D28" s="129"/>
      <c r="E28" s="129">
        <f>C10</f>
        <v>0.97799999999999998</v>
      </c>
      <c r="F28" s="129"/>
      <c r="G28" s="129">
        <f>C11</f>
        <v>2</v>
      </c>
      <c r="H28" s="129"/>
      <c r="I28" s="129">
        <f>C12</f>
        <v>1.5E-5</v>
      </c>
      <c r="K28" s="129">
        <f>C28*E28*G28*I28</f>
        <v>9.2071853999999995E-2</v>
      </c>
      <c r="L28" s="129"/>
      <c r="M28" s="129">
        <f>C8</f>
        <v>1.5</v>
      </c>
      <c r="O28" s="124">
        <f>K28*M28</f>
        <v>0.13810778099999999</v>
      </c>
      <c r="Q28" s="143">
        <f>O28/907200</f>
        <v>1.5223520833333333E-7</v>
      </c>
    </row>
    <row r="29" spans="2:20" x14ac:dyDescent="0.2">
      <c r="B29" s="141"/>
      <c r="C29" s="129"/>
      <c r="D29" s="129"/>
      <c r="E29" s="129"/>
      <c r="F29" s="129"/>
      <c r="G29" s="129"/>
      <c r="H29" s="129"/>
      <c r="I29" s="129"/>
      <c r="K29" s="129"/>
      <c r="L29" s="129"/>
      <c r="M29" s="129"/>
      <c r="Q29" s="144"/>
    </row>
    <row r="30" spans="2:20" x14ac:dyDescent="0.2">
      <c r="B30" s="136" t="s">
        <v>347</v>
      </c>
      <c r="Q30" s="130"/>
    </row>
    <row r="31" spans="2:20" ht="76.5" x14ac:dyDescent="0.2">
      <c r="B31" s="141"/>
      <c r="C31" s="137" t="s">
        <v>324</v>
      </c>
      <c r="D31" s="129" t="s">
        <v>316</v>
      </c>
      <c r="E31" s="137" t="s">
        <v>348</v>
      </c>
      <c r="F31" s="129" t="s">
        <v>316</v>
      </c>
      <c r="G31" s="137" t="s">
        <v>330</v>
      </c>
      <c r="H31" s="129" t="s">
        <v>320</v>
      </c>
      <c r="I31" s="137" t="s">
        <v>327</v>
      </c>
      <c r="J31" s="129" t="s">
        <v>316</v>
      </c>
      <c r="K31" s="137" t="s">
        <v>328</v>
      </c>
      <c r="L31" s="129" t="s">
        <v>320</v>
      </c>
      <c r="M31" s="137" t="s">
        <v>329</v>
      </c>
      <c r="O31" s="137" t="s">
        <v>322</v>
      </c>
      <c r="Q31" s="130"/>
    </row>
    <row r="32" spans="2:20" ht="13.5" thickBot="1" x14ac:dyDescent="0.25">
      <c r="B32" s="145" t="s">
        <v>197</v>
      </c>
      <c r="C32" s="146">
        <f>C28</f>
        <v>3138.1</v>
      </c>
      <c r="D32" s="146"/>
      <c r="E32" s="146">
        <f>C14</f>
        <v>3.67</v>
      </c>
      <c r="F32" s="146"/>
      <c r="G32" s="146">
        <f>C13</f>
        <v>0.87</v>
      </c>
      <c r="H32" s="133"/>
      <c r="I32" s="146">
        <f>C32*E32*G32</f>
        <v>10019.63949</v>
      </c>
      <c r="J32" s="146"/>
      <c r="K32" s="146">
        <f>C8</f>
        <v>1.5</v>
      </c>
      <c r="L32" s="133"/>
      <c r="M32" s="133">
        <f>I32*K32</f>
        <v>15029.459234999998</v>
      </c>
      <c r="N32" s="133"/>
      <c r="O32" s="147">
        <f>M32/907200</f>
        <v>1.656686423611111E-2</v>
      </c>
      <c r="P32" s="133"/>
      <c r="Q32" s="134"/>
    </row>
    <row r="33" spans="3:9" x14ac:dyDescent="0.2">
      <c r="C33" s="129"/>
      <c r="D33" s="129"/>
      <c r="E33" s="129"/>
      <c r="F33" s="129"/>
      <c r="G33" s="129"/>
      <c r="H33" s="129"/>
      <c r="I33" s="129"/>
    </row>
    <row r="34" spans="3:9" x14ac:dyDescent="0.2">
      <c r="C34" s="129"/>
      <c r="D34" s="129"/>
      <c r="E34" s="129"/>
      <c r="F34" s="129"/>
      <c r="G34" s="129"/>
      <c r="H34" s="129"/>
      <c r="I34" s="129"/>
    </row>
    <row r="36" spans="3:9" ht="13.5" thickBot="1" x14ac:dyDescent="0.25"/>
    <row r="37" spans="3:9" ht="13.5" thickBot="1" x14ac:dyDescent="0.25">
      <c r="D37" s="148" t="s">
        <v>231</v>
      </c>
      <c r="E37" s="149" t="s">
        <v>185</v>
      </c>
    </row>
    <row r="38" spans="3:9" x14ac:dyDescent="0.2">
      <c r="D38" s="150" t="s">
        <v>344</v>
      </c>
      <c r="E38" s="151">
        <f>M19</f>
        <v>2.5132275132275136E-6</v>
      </c>
    </row>
    <row r="39" spans="3:9" x14ac:dyDescent="0.2">
      <c r="D39" s="152" t="s">
        <v>345</v>
      </c>
      <c r="E39" s="165">
        <f>M20</f>
        <v>2.437830687830688E-6</v>
      </c>
    </row>
    <row r="40" spans="3:9" x14ac:dyDescent="0.2">
      <c r="D40" s="152" t="s">
        <v>201</v>
      </c>
      <c r="E40" s="165">
        <f>M21</f>
        <v>6.746031746031746E-6</v>
      </c>
    </row>
    <row r="41" spans="3:9" x14ac:dyDescent="0.2">
      <c r="D41" s="152" t="s">
        <v>202</v>
      </c>
      <c r="E41" s="165">
        <f>M22</f>
        <v>9.6560846560846567E-5</v>
      </c>
    </row>
    <row r="42" spans="3:9" x14ac:dyDescent="0.2">
      <c r="D42" s="152" t="s">
        <v>203</v>
      </c>
      <c r="E42" s="165">
        <f>M23</f>
        <v>2.4206349206349206E-5</v>
      </c>
    </row>
    <row r="43" spans="3:9" x14ac:dyDescent="0.2">
      <c r="D43" s="152" t="s">
        <v>349</v>
      </c>
      <c r="E43" s="166">
        <f>Q28</f>
        <v>1.5223520833333333E-7</v>
      </c>
    </row>
    <row r="44" spans="3:9" ht="13.5" thickBot="1" x14ac:dyDescent="0.25">
      <c r="D44" s="153" t="s">
        <v>350</v>
      </c>
      <c r="E44" s="167">
        <f>O32</f>
        <v>1.656686423611111E-2</v>
      </c>
    </row>
  </sheetData>
  <mergeCells count="1">
    <mergeCell ref="C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Title</vt:lpstr>
      <vt:lpstr>Contents</vt:lpstr>
      <vt:lpstr>Summary</vt:lpstr>
      <vt:lpstr>Benefits Estimate</vt:lpstr>
      <vt:lpstr>Cost Estimate</vt:lpstr>
      <vt:lpstr>Parameters</vt:lpstr>
      <vt:lpstr>Sub of train for truck data</vt:lpstr>
      <vt:lpstr>Idle Cost Back Up</vt:lpstr>
      <vt:lpstr>CES_Code</vt:lpstr>
      <vt:lpstr>CES_Description</vt:lpstr>
      <vt:lpstr>CES_Pick</vt:lpstr>
      <vt:lpstr>CES_Short</vt:lpstr>
      <vt:lpstr>Discount_1</vt:lpstr>
      <vt:lpstr>Discount_2</vt:lpstr>
      <vt:lpstr>Start_Year</vt:lpstr>
    </vt:vector>
  </TitlesOfParts>
  <Company>Jacobs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Nathan</dc:creator>
  <cp:lastModifiedBy>Albert Lyne</cp:lastModifiedBy>
  <cp:lastPrinted>2015-01-12T22:25:45Z</cp:lastPrinted>
  <dcterms:created xsi:type="dcterms:W3CDTF">2014-04-16T19:21:49Z</dcterms:created>
  <dcterms:modified xsi:type="dcterms:W3CDTF">2015-01-12T22:36:51Z</dcterms:modified>
</cp:coreProperties>
</file>