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925" yWindow="2010" windowWidth="15645" windowHeight="7980" tabRatio="763" activeTab="5"/>
  </bookViews>
  <sheets>
    <sheet name="Instructions" sheetId="8" r:id="rId1"/>
    <sheet name="ITS Delay Worksheet" sheetId="7" state="hidden" r:id="rId2"/>
    <sheet name="Emissions Reduction Worksheet" sheetId="5" state="hidden" r:id="rId3"/>
    <sheet name="Inputs &amp; Outputs" sheetId="11" r:id="rId4"/>
    <sheet name="Volume Projections" sheetId="14" r:id="rId5"/>
    <sheet name="Calculations" sheetId="17" r:id="rId6"/>
    <sheet name="Delay Calculations" sheetId="18" r:id="rId7"/>
    <sheet name="Assumed Values" sheetId="2" r:id="rId8"/>
    <sheet name="Value of Travel Time" sheetId="1" r:id="rId9"/>
    <sheet name="Value of Statistical Life" sheetId="9" r:id="rId10"/>
    <sheet name="Value of Emissions" sheetId="6" r:id="rId11"/>
    <sheet name="GDP Deflators" sheetId="4" r:id="rId12"/>
  </sheets>
  <externalReferences>
    <externalReference r:id="rId13"/>
  </externalReferences>
  <definedNames>
    <definedName name="_2018_2025_Demand_Growth" localSheetId="5">Calculations!#REF!</definedName>
    <definedName name="_2018_2025_Demand_Growth">#REF!</definedName>
    <definedName name="_2018_2025_V_C_Growth" localSheetId="5">Calculations!#REF!</definedName>
    <definedName name="_2018_2025_V_C_Growth">#REF!</definedName>
    <definedName name="_2018_2040_Demand_Growth" localSheetId="5">Calculations!#REF!</definedName>
    <definedName name="_2018_2040_Demand_Growth">#REF!</definedName>
    <definedName name="_2018_2040_V_C_Growth" localSheetId="5">Calculations!#REF!</definedName>
    <definedName name="_2018_2040_V_C_Growth">#REF!</definedName>
    <definedName name="_2018_Capacity">'Inputs &amp; Outputs'!$E$8</definedName>
    <definedName name="_2018_V_C_Ratio" localSheetId="5">Calculations!#REF!</definedName>
    <definedName name="_2018_V_C_Ratio">#REF!</definedName>
    <definedName name="_2018_Volume">'Inputs &amp; Outputs'!$E$7</definedName>
    <definedName name="_2025_2040_Demand_Growth" localSheetId="5">Calculations!#REF!</definedName>
    <definedName name="_2025_2040_Demand_Growth">#REF!</definedName>
    <definedName name="_2025_2040_V_C_Growth" localSheetId="5">Calculations!#REF!</definedName>
    <definedName name="_2025_2040_V_C_Growth">#REF!</definedName>
    <definedName name="_2025_Capacity">'Inputs &amp; Outputs'!$E$10</definedName>
    <definedName name="_2025_V_C_Ratio" localSheetId="5">Calculations!#REF!</definedName>
    <definedName name="_2025_V_C_Ratio">#REF!</definedName>
    <definedName name="_2025_Volume">'Inputs &amp; Outputs'!$E$9</definedName>
    <definedName name="_2040_Capacity">'Inputs &amp; Outputs'!$E$12</definedName>
    <definedName name="_2040_V_C_Ratio" localSheetId="5">Calculations!#REF!</definedName>
    <definedName name="_2040_V_C_Ratio">#REF!</definedName>
    <definedName name="_2040_Volume">'Inputs &amp; Outputs'!$E$11</definedName>
    <definedName name="Annual_Days_of_Travel" localSheetId="5">Calculations!$B$8</definedName>
    <definedName name="Annual_Days_of_Travel">#REF!</definedName>
    <definedName name="Application_ID_Number">'Inputs &amp; Outputs'!$B$7</definedName>
    <definedName name="Base_Year" localSheetId="5">Calculations!$B$4</definedName>
    <definedName name="Base_Year">#REF!</definedName>
    <definedName name="Discount_Rate" localSheetId="5">Calculations!#REF!</definedName>
    <definedName name="Discount_Rate">#REF!</definedName>
    <definedName name="Name">'Inputs &amp; Outputs'!$B$6</definedName>
    <definedName name="_xlnm.Print_Area" localSheetId="7">'Assumed Values'!$B$2:$C$30</definedName>
    <definedName name="_xlnm.Print_Area" localSheetId="2">'Emissions Reduction Worksheet'!$A$3:$K$33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 localSheetId="5">Calculations!$B$7</definedName>
    <definedName name="Real_wage_growth_rate">#REF!</definedName>
    <definedName name="Sponsor_ID_Number__CSJ__etc.">'Inputs &amp; Outputs'!$B$8</definedName>
    <definedName name="Value_of_Delay_Savings__2015_____000s" localSheetId="5">Calculations!$H$4:$H$29+Calculations!$H$4:$H$36</definedName>
    <definedName name="Value_of_Delay_Savings__2015_____000s">#REF!+#REF!</definedName>
    <definedName name="Value_of_Travel_Time__VoTT___2015" localSheetId="5">Calculations!$B$6</definedName>
    <definedName name="Value_of_Travel_Time__VoTT___2015">#REF!</definedName>
    <definedName name="Vehicle_Occupancy" localSheetId="5">Calculations!$B$5</definedName>
    <definedName name="Vehicle_Occupancy">#REF!</definedName>
    <definedName name="Year_Open_to_Traffic?">'Inputs &amp; Outputs'!$B$9</definedName>
    <definedName name="Years_to_include_in_BCA_Analysis" localSheetId="5">Calculations!$B$9</definedName>
    <definedName name="Years_to_include_in_BCA_Analysis">#REF!</definedName>
  </definedNames>
  <calcPr calcId="145621"/>
</workbook>
</file>

<file path=xl/calcChain.xml><?xml version="1.0" encoding="utf-8"?>
<calcChain xmlns="http://schemas.openxmlformats.org/spreadsheetml/2006/main">
  <c r="F14" i="18" l="1"/>
  <c r="F11" i="18"/>
  <c r="F8" i="18"/>
  <c r="F5" i="18"/>
  <c r="E13" i="18" l="1"/>
  <c r="E12" i="18"/>
  <c r="E10" i="18"/>
  <c r="E9" i="18"/>
  <c r="E7" i="18"/>
  <c r="E6" i="18"/>
  <c r="E4" i="18"/>
  <c r="E3" i="18"/>
  <c r="D14" i="18" l="1"/>
  <c r="C14" i="18"/>
  <c r="E14" i="18" s="1"/>
  <c r="D11" i="18"/>
  <c r="C11" i="18"/>
  <c r="E11" i="18" s="1"/>
  <c r="D8" i="18"/>
  <c r="C8" i="18"/>
  <c r="E8" i="18" s="1"/>
  <c r="D5" i="18"/>
  <c r="C5" i="18"/>
  <c r="E5" i="18" s="1"/>
  <c r="E11" i="17" l="1"/>
  <c r="E26" i="17"/>
  <c r="E4" i="17"/>
  <c r="D5" i="17"/>
  <c r="D6" i="17" s="1"/>
  <c r="D7" i="17" s="1"/>
  <c r="D8" i="17" s="1"/>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D31" i="17" s="1"/>
  <c r="D32" i="17" s="1"/>
  <c r="D33" i="17" s="1"/>
  <c r="D34" i="17" s="1"/>
  <c r="D35" i="17" s="1"/>
  <c r="D36" i="17" s="1"/>
  <c r="B6" i="17"/>
  <c r="G34" i="17" s="1"/>
  <c r="G35" i="17" l="1"/>
  <c r="G33" i="17"/>
  <c r="G31" i="17"/>
  <c r="G29" i="17"/>
  <c r="G27" i="17"/>
  <c r="G25" i="17"/>
  <c r="G23" i="17"/>
  <c r="G21" i="17"/>
  <c r="G19" i="17"/>
  <c r="G17" i="17"/>
  <c r="G15" i="17"/>
  <c r="G13" i="17"/>
  <c r="G11" i="17"/>
  <c r="G9" i="17"/>
  <c r="G7" i="17"/>
  <c r="G5" i="17"/>
  <c r="G36" i="17"/>
  <c r="G32" i="17"/>
  <c r="G30" i="17"/>
  <c r="G28" i="17"/>
  <c r="G26" i="17"/>
  <c r="G24" i="17"/>
  <c r="G22" i="17"/>
  <c r="G20" i="17"/>
  <c r="G18" i="17"/>
  <c r="G16" i="17"/>
  <c r="G14" i="17"/>
  <c r="G12" i="17"/>
  <c r="G10" i="17"/>
  <c r="G8" i="17"/>
  <c r="G6" i="17"/>
  <c r="G4" i="17"/>
  <c r="AE4" i="14"/>
  <c r="AD4" i="14"/>
  <c r="AC4" i="14"/>
  <c r="AB4" i="14"/>
  <c r="K12" i="14"/>
  <c r="J12" i="14"/>
  <c r="I12" i="14"/>
  <c r="W24" i="14" l="1"/>
  <c r="W29" i="14" s="1"/>
  <c r="W34" i="14" s="1"/>
  <c r="W39" i="14" s="1"/>
  <c r="V24" i="14"/>
  <c r="V29" i="14" s="1"/>
  <c r="V34" i="14" s="1"/>
  <c r="V39" i="14" s="1"/>
  <c r="U24" i="14"/>
  <c r="U29" i="14" s="1"/>
  <c r="S24" i="14"/>
  <c r="S29" i="14" s="1"/>
  <c r="S34" i="14" s="1"/>
  <c r="S39" i="14" s="1"/>
  <c r="R24" i="14"/>
  <c r="R29" i="14" s="1"/>
  <c r="N24" i="14"/>
  <c r="N29" i="14" s="1"/>
  <c r="N34" i="14" s="1"/>
  <c r="N39" i="14" s="1"/>
  <c r="M24" i="14"/>
  <c r="M29" i="14" s="1"/>
  <c r="R23" i="14"/>
  <c r="R28" i="14" s="1"/>
  <c r="R33" i="14" s="1"/>
  <c r="R38" i="14" s="1"/>
  <c r="Q23" i="14"/>
  <c r="Q28" i="14" s="1"/>
  <c r="P23" i="14"/>
  <c r="O23" i="14"/>
  <c r="O28" i="14" s="1"/>
  <c r="O33" i="14" s="1"/>
  <c r="O38" i="14" s="1"/>
  <c r="N23" i="14"/>
  <c r="N28" i="14" s="1"/>
  <c r="K23" i="14"/>
  <c r="K28" i="14" s="1"/>
  <c r="K33" i="14" s="1"/>
  <c r="K38" i="14" s="1"/>
  <c r="J23" i="14"/>
  <c r="J28" i="14" s="1"/>
  <c r="J33" i="14" s="1"/>
  <c r="J38" i="14" s="1"/>
  <c r="I23" i="14"/>
  <c r="I28" i="14" s="1"/>
  <c r="W22" i="14"/>
  <c r="W27" i="14" s="1"/>
  <c r="W32" i="14" s="1"/>
  <c r="W37" i="14" s="1"/>
  <c r="V22" i="14"/>
  <c r="V27" i="14" s="1"/>
  <c r="V32" i="14" s="1"/>
  <c r="V37" i="14" s="1"/>
  <c r="U22" i="14"/>
  <c r="U27" i="14" s="1"/>
  <c r="S22" i="14"/>
  <c r="S27" i="14" s="1"/>
  <c r="S32" i="14" s="1"/>
  <c r="S37" i="14" s="1"/>
  <c r="R22" i="14"/>
  <c r="R27" i="14" s="1"/>
  <c r="N22" i="14"/>
  <c r="N27" i="14" s="1"/>
  <c r="N32" i="14" s="1"/>
  <c r="N37" i="14" s="1"/>
  <c r="M22" i="14"/>
  <c r="P22" i="14" s="1"/>
  <c r="R21" i="14"/>
  <c r="R26" i="14" s="1"/>
  <c r="R31" i="14" s="1"/>
  <c r="R36" i="14" s="1"/>
  <c r="Q21" i="14"/>
  <c r="Q26" i="14" s="1"/>
  <c r="O21" i="14"/>
  <c r="O26" i="14" s="1"/>
  <c r="O31" i="14" s="1"/>
  <c r="O36" i="14" s="1"/>
  <c r="N21" i="14"/>
  <c r="P21" i="14" s="1"/>
  <c r="K21" i="14"/>
  <c r="L21" i="14" s="1"/>
  <c r="J21" i="14"/>
  <c r="J26" i="14" s="1"/>
  <c r="J31" i="14" s="1"/>
  <c r="J36" i="14" s="1"/>
  <c r="I21" i="14"/>
  <c r="I26" i="14" s="1"/>
  <c r="X19" i="14"/>
  <c r="T19" i="14"/>
  <c r="P19" i="14"/>
  <c r="T18" i="14"/>
  <c r="P18" i="14"/>
  <c r="L18" i="14"/>
  <c r="X17" i="14"/>
  <c r="T17" i="14"/>
  <c r="P17" i="14"/>
  <c r="T16" i="14"/>
  <c r="P16" i="14"/>
  <c r="L16" i="14"/>
  <c r="Z6" i="14"/>
  <c r="Z7" i="14" s="1"/>
  <c r="Y6" i="14"/>
  <c r="Y7" i="14" s="1"/>
  <c r="X6" i="14"/>
  <c r="X7" i="14" s="1"/>
  <c r="U6" i="14"/>
  <c r="U7" i="14" s="1"/>
  <c r="T6" i="14"/>
  <c r="T7" i="14" s="1"/>
  <c r="S6" i="14"/>
  <c r="S7" i="14" s="1"/>
  <c r="P6" i="14"/>
  <c r="P7" i="14" s="1"/>
  <c r="O6" i="14"/>
  <c r="O7" i="14" s="1"/>
  <c r="N6" i="14"/>
  <c r="N7" i="14" s="1"/>
  <c r="K6" i="14"/>
  <c r="K7" i="14" s="1"/>
  <c r="J6" i="14"/>
  <c r="J7" i="14" s="1"/>
  <c r="I6" i="14"/>
  <c r="I7" i="14" s="1"/>
  <c r="Z5" i="14"/>
  <c r="Y5" i="14"/>
  <c r="X5" i="14"/>
  <c r="U5" i="14"/>
  <c r="T5" i="14"/>
  <c r="S5" i="14"/>
  <c r="P5" i="14"/>
  <c r="O5" i="14"/>
  <c r="N5" i="14"/>
  <c r="K5" i="14"/>
  <c r="J5" i="14"/>
  <c r="I5" i="14"/>
  <c r="J8" i="14" l="1"/>
  <c r="K8" i="14"/>
  <c r="U34" i="14"/>
  <c r="X29" i="14"/>
  <c r="U32" i="14"/>
  <c r="X27" i="14"/>
  <c r="Q33" i="14"/>
  <c r="T28" i="14"/>
  <c r="T26" i="14"/>
  <c r="Q31" i="14"/>
  <c r="I33" i="14"/>
  <c r="L28" i="14"/>
  <c r="M34" i="14"/>
  <c r="P29" i="14"/>
  <c r="I8" i="14"/>
  <c r="I31" i="14"/>
  <c r="T29" i="14"/>
  <c r="R34" i="14"/>
  <c r="R32" i="14"/>
  <c r="T27" i="14"/>
  <c r="N33" i="14"/>
  <c r="P28" i="14"/>
  <c r="K26" i="14"/>
  <c r="K31" i="14" s="1"/>
  <c r="K36" i="14" s="1"/>
  <c r="T22" i="14"/>
  <c r="L23" i="14"/>
  <c r="X24" i="14"/>
  <c r="P24" i="14"/>
  <c r="T21" i="14"/>
  <c r="M27" i="14"/>
  <c r="X22" i="14"/>
  <c r="T23" i="14"/>
  <c r="T24" i="14"/>
  <c r="N26" i="14"/>
  <c r="L26" i="14" l="1"/>
  <c r="Q38" i="14"/>
  <c r="T38" i="14" s="1"/>
  <c r="T33" i="14"/>
  <c r="M32" i="14"/>
  <c r="P27" i="14"/>
  <c r="P33" i="14"/>
  <c r="N38" i="14"/>
  <c r="P38" i="14" s="1"/>
  <c r="M39" i="14"/>
  <c r="P39" i="14" s="1"/>
  <c r="P34" i="14"/>
  <c r="X32" i="14"/>
  <c r="U37" i="14"/>
  <c r="X37" i="14" s="1"/>
  <c r="R37" i="14"/>
  <c r="T37" i="14" s="1"/>
  <c r="T32" i="14"/>
  <c r="T34" i="14"/>
  <c r="R39" i="14"/>
  <c r="T39" i="14" s="1"/>
  <c r="I38" i="14"/>
  <c r="L38" i="14" s="1"/>
  <c r="L33" i="14"/>
  <c r="U39" i="14"/>
  <c r="X39" i="14" s="1"/>
  <c r="X34" i="14"/>
  <c r="P26" i="14"/>
  <c r="N31" i="14"/>
  <c r="Q36" i="14"/>
  <c r="T36" i="14" s="1"/>
  <c r="T31" i="14"/>
  <c r="L31" i="14"/>
  <c r="I36" i="14"/>
  <c r="L36" i="14" s="1"/>
  <c r="N36" i="14" l="1"/>
  <c r="P36" i="14" s="1"/>
  <c r="P31" i="14"/>
  <c r="P32" i="14"/>
  <c r="M37" i="14"/>
  <c r="P37" i="14" s="1"/>
  <c r="H26" i="17" l="1"/>
  <c r="E6" i="17" l="1"/>
  <c r="H6" i="17" s="1"/>
  <c r="E8" i="17"/>
  <c r="H8" i="17" s="1"/>
  <c r="E10" i="17"/>
  <c r="H10" i="17" s="1"/>
  <c r="H4" i="17"/>
  <c r="E5" i="17"/>
  <c r="H5" i="17" s="1"/>
  <c r="E7" i="17"/>
  <c r="H7" i="17" s="1"/>
  <c r="E9" i="17"/>
  <c r="H9" i="17" s="1"/>
  <c r="E12" i="17"/>
  <c r="H12" i="17" s="1"/>
  <c r="E14" i="17"/>
  <c r="H14" i="17" s="1"/>
  <c r="E16" i="17"/>
  <c r="H16" i="17" s="1"/>
  <c r="E18" i="17"/>
  <c r="H18" i="17" s="1"/>
  <c r="E20" i="17"/>
  <c r="H20" i="17" s="1"/>
  <c r="E22" i="17"/>
  <c r="H22" i="17" s="1"/>
  <c r="E24" i="17"/>
  <c r="H24" i="17" s="1"/>
  <c r="E28" i="17"/>
  <c r="H28" i="17" s="1"/>
  <c r="E30" i="17"/>
  <c r="H30" i="17" s="1"/>
  <c r="E32" i="17"/>
  <c r="H32" i="17" s="1"/>
  <c r="E34" i="17"/>
  <c r="H34" i="17" s="1"/>
  <c r="E36" i="17"/>
  <c r="H36" i="17" s="1"/>
  <c r="E13" i="17"/>
  <c r="H13" i="17" s="1"/>
  <c r="E15" i="17"/>
  <c r="H15" i="17" s="1"/>
  <c r="E17" i="17"/>
  <c r="H17" i="17" s="1"/>
  <c r="E19" i="17"/>
  <c r="H19" i="17" s="1"/>
  <c r="E21" i="17"/>
  <c r="H21" i="17" s="1"/>
  <c r="E23" i="17"/>
  <c r="H23" i="17" s="1"/>
  <c r="E25" i="17"/>
  <c r="H25" i="17" s="1"/>
  <c r="E27" i="17"/>
  <c r="H27" i="17" s="1"/>
  <c r="E29" i="17"/>
  <c r="H29" i="17" s="1"/>
  <c r="E31" i="17"/>
  <c r="H31" i="17" s="1"/>
  <c r="E33" i="17"/>
  <c r="H33" i="17" s="1"/>
  <c r="E35" i="17"/>
  <c r="H35" i="17" s="1"/>
  <c r="H11" i="17"/>
  <c r="H38" i="17" l="1"/>
  <c r="H40" i="17" s="1"/>
  <c r="D19" i="1" l="1"/>
  <c r="D20" i="1"/>
  <c r="D18" i="1"/>
  <c r="C21" i="2" l="1"/>
  <c r="B18" i="5" s="1"/>
  <c r="E17" i="5" s="1"/>
  <c r="H10" i="5" s="1"/>
  <c r="C22" i="2"/>
  <c r="B19" i="5" s="1"/>
  <c r="E18" i="5" s="1"/>
  <c r="G4" i="7"/>
  <c r="G4" i="5"/>
  <c r="G5" i="5"/>
  <c r="G6" i="5"/>
  <c r="G7" i="5"/>
  <c r="G8" i="5" s="1"/>
  <c r="G9" i="5" s="1"/>
  <c r="G10" i="5" s="1"/>
  <c r="G11" i="5" s="1"/>
  <c r="G12" i="5" s="1"/>
  <c r="G13" i="5" s="1"/>
  <c r="G14" i="5" s="1"/>
  <c r="H4" i="7"/>
  <c r="I4" i="7"/>
  <c r="B18" i="7"/>
  <c r="G5" i="7"/>
  <c r="H5" i="7" s="1"/>
  <c r="B17" i="7"/>
  <c r="B16" i="7"/>
  <c r="E17" i="7"/>
  <c r="O6" i="4"/>
  <c r="K6" i="4"/>
  <c r="I6" i="4"/>
  <c r="B5" i="4"/>
  <c r="C5" i="4"/>
  <c r="D5" i="4"/>
  <c r="E5" i="4"/>
  <c r="F5" i="4"/>
  <c r="P5" i="4" s="1"/>
  <c r="C8" i="2" s="1"/>
  <c r="G5" i="4"/>
  <c r="H5" i="4"/>
  <c r="B6" i="4"/>
  <c r="C6" i="4"/>
  <c r="D6" i="4"/>
  <c r="E6" i="4"/>
  <c r="F6" i="4"/>
  <c r="G6" i="4"/>
  <c r="H6" i="4"/>
  <c r="J5" i="4"/>
  <c r="K5" i="4"/>
  <c r="L5" i="4"/>
  <c r="M5" i="4"/>
  <c r="N5" i="4"/>
  <c r="I5" i="4"/>
  <c r="J6" i="4"/>
  <c r="L6" i="4"/>
  <c r="M6" i="4"/>
  <c r="N6" i="4"/>
  <c r="D12" i="1"/>
  <c r="E11" i="1" s="1"/>
  <c r="E9" i="1"/>
  <c r="E12" i="1"/>
  <c r="E4" i="1"/>
  <c r="E6" i="1"/>
  <c r="G15" i="5" l="1"/>
  <c r="J14" i="5"/>
  <c r="H14" i="5"/>
  <c r="D5" i="6"/>
  <c r="C20" i="2" s="1"/>
  <c r="B21" i="5" s="1"/>
  <c r="K14" i="5" s="1"/>
  <c r="F10" i="9"/>
  <c r="C11" i="2" s="1"/>
  <c r="F8" i="9"/>
  <c r="F9" i="9"/>
  <c r="F5" i="9"/>
  <c r="F6" i="9"/>
  <c r="F7" i="9"/>
  <c r="E5" i="1"/>
  <c r="H4" i="1" s="1"/>
  <c r="E10" i="1"/>
  <c r="H5" i="1" s="1"/>
  <c r="E8" i="1"/>
  <c r="H6" i="1" s="1"/>
  <c r="G6" i="7"/>
  <c r="E7" i="1"/>
  <c r="I5" i="7"/>
  <c r="H6" i="5"/>
  <c r="H11" i="5"/>
  <c r="D4" i="6"/>
  <c r="C19" i="2" s="1"/>
  <c r="B20" i="5" s="1"/>
  <c r="J5" i="5"/>
  <c r="K5" i="5" s="1"/>
  <c r="J13" i="5"/>
  <c r="K13" i="5" s="1"/>
  <c r="J11" i="5"/>
  <c r="K11" i="5" s="1"/>
  <c r="J10" i="5"/>
  <c r="J9" i="5"/>
  <c r="J4" i="5"/>
  <c r="J12" i="5"/>
  <c r="J8" i="5"/>
  <c r="J7" i="5"/>
  <c r="K7" i="5" s="1"/>
  <c r="J6" i="5"/>
  <c r="K6" i="5" s="1"/>
  <c r="H12" i="5"/>
  <c r="H4" i="5"/>
  <c r="H13" i="5"/>
  <c r="H5" i="5"/>
  <c r="H7" i="5"/>
  <c r="H8" i="5"/>
  <c r="H9" i="5"/>
  <c r="K8" i="5" l="1"/>
  <c r="H7" i="1"/>
  <c r="C21" i="1"/>
  <c r="K12" i="5"/>
  <c r="K4" i="5"/>
  <c r="H15" i="5"/>
  <c r="J15" i="5"/>
  <c r="K15" i="5" s="1"/>
  <c r="G16" i="5"/>
  <c r="D21" i="1"/>
  <c r="C15" i="2" s="1"/>
  <c r="K9" i="5"/>
  <c r="K10" i="5"/>
  <c r="G7" i="7"/>
  <c r="H6" i="7"/>
  <c r="I6" i="7" s="1"/>
  <c r="I13" i="5"/>
  <c r="I7" i="5"/>
  <c r="I8" i="5"/>
  <c r="I10" i="5"/>
  <c r="I9" i="5"/>
  <c r="I14" i="5"/>
  <c r="I15" i="5"/>
  <c r="I12" i="5"/>
  <c r="I5" i="5"/>
  <c r="I6" i="5"/>
  <c r="I11" i="5"/>
  <c r="B19" i="7"/>
  <c r="I4" i="5"/>
  <c r="H16" i="5" l="1"/>
  <c r="J16" i="5"/>
  <c r="K16" i="5" s="1"/>
  <c r="G17" i="5"/>
  <c r="G8" i="7"/>
  <c r="H7" i="7"/>
  <c r="I7" i="7" s="1"/>
  <c r="J7" i="7" s="1"/>
  <c r="J6" i="7"/>
  <c r="J5" i="7"/>
  <c r="J4" i="7"/>
  <c r="I16" i="5" l="1"/>
  <c r="H8" i="7"/>
  <c r="I8" i="7"/>
  <c r="J8" i="7" s="1"/>
  <c r="G9" i="7"/>
  <c r="G18" i="5"/>
  <c r="H17" i="5"/>
  <c r="I17" i="5" s="1"/>
  <c r="J17" i="5"/>
  <c r="K17" i="5" s="1"/>
  <c r="B11" i="7"/>
  <c r="B12" i="7" s="1"/>
  <c r="J18" i="5" l="1"/>
  <c r="K18" i="5" s="1"/>
  <c r="G19" i="5"/>
  <c r="H18" i="5"/>
  <c r="I18" i="5" s="1"/>
  <c r="H9" i="7"/>
  <c r="I9" i="7" s="1"/>
  <c r="J9" i="7" s="1"/>
  <c r="G10" i="7"/>
  <c r="H19" i="5" l="1"/>
  <c r="G20" i="5"/>
  <c r="J19" i="5"/>
  <c r="K19" i="5" s="1"/>
  <c r="G11" i="7"/>
  <c r="H10" i="7"/>
  <c r="I10" i="7" s="1"/>
  <c r="J10" i="7" s="1"/>
  <c r="G21" i="5" l="1"/>
  <c r="H20" i="5"/>
  <c r="I20" i="5" s="1"/>
  <c r="J20" i="5"/>
  <c r="K20" i="5" s="1"/>
  <c r="H11" i="7"/>
  <c r="I11" i="7"/>
  <c r="J11" i="7" s="1"/>
  <c r="G12" i="7"/>
  <c r="I19" i="5"/>
  <c r="H12" i="7" l="1"/>
  <c r="I12" i="7"/>
  <c r="J12" i="7" s="1"/>
  <c r="G13" i="7"/>
  <c r="J21" i="5"/>
  <c r="K21" i="5" s="1"/>
  <c r="G22" i="5"/>
  <c r="H21" i="5"/>
  <c r="I21" i="5" l="1"/>
  <c r="H13" i="7"/>
  <c r="I13" i="7"/>
  <c r="J13" i="7" s="1"/>
  <c r="G14" i="7"/>
  <c r="G23" i="5"/>
  <c r="J22" i="5"/>
  <c r="K22" i="5" s="1"/>
  <c r="H22" i="5"/>
  <c r="I22" i="5" s="1"/>
  <c r="H23" i="5" l="1"/>
  <c r="I23" i="5" s="1"/>
  <c r="J23" i="5"/>
  <c r="K23" i="5" s="1"/>
  <c r="G24" i="5"/>
  <c r="G15" i="7"/>
  <c r="H14" i="7"/>
  <c r="I14" i="7"/>
  <c r="J14" i="7" s="1"/>
  <c r="H24" i="5" l="1"/>
  <c r="I24" i="5" s="1"/>
  <c r="J24" i="5"/>
  <c r="K24" i="5" s="1"/>
  <c r="B11" i="5" s="1"/>
  <c r="B12" i="5" s="1"/>
  <c r="G25" i="5"/>
  <c r="G16" i="7"/>
  <c r="H15" i="7"/>
  <c r="I15" i="7"/>
  <c r="J15" i="7" s="1"/>
  <c r="H16" i="7" l="1"/>
  <c r="G17" i="7"/>
  <c r="I16" i="7"/>
  <c r="J16" i="7" s="1"/>
  <c r="G26" i="5"/>
  <c r="J25" i="5"/>
  <c r="K25" i="5" s="1"/>
  <c r="H25" i="5"/>
  <c r="I25" i="5" s="1"/>
  <c r="H17" i="7" l="1"/>
  <c r="I17" i="7" s="1"/>
  <c r="J17" i="7" s="1"/>
  <c r="G18" i="7"/>
  <c r="J26" i="5"/>
  <c r="K26" i="5" s="1"/>
  <c r="G27" i="5"/>
  <c r="H26" i="5"/>
  <c r="I26" i="5" s="1"/>
  <c r="G19" i="7" l="1"/>
  <c r="H18" i="7"/>
  <c r="I18" i="7" s="1"/>
  <c r="J18" i="7" s="1"/>
  <c r="G28" i="5"/>
  <c r="H27" i="5"/>
  <c r="I27" i="5" s="1"/>
  <c r="J27" i="5"/>
  <c r="K27" i="5" s="1"/>
  <c r="H28" i="5" l="1"/>
  <c r="I28" i="5" s="1"/>
  <c r="G29" i="5"/>
  <c r="J28" i="5"/>
  <c r="K28" i="5" s="1"/>
  <c r="H19" i="7"/>
  <c r="I19" i="7" s="1"/>
  <c r="J19" i="7" s="1"/>
  <c r="G20" i="7"/>
  <c r="H20" i="7" l="1"/>
  <c r="I20" i="7"/>
  <c r="J20" i="7" s="1"/>
  <c r="G21" i="7"/>
  <c r="J29" i="5"/>
  <c r="K29" i="5" s="1"/>
  <c r="H29" i="5"/>
  <c r="I29" i="5" l="1"/>
  <c r="B13" i="5"/>
  <c r="H21" i="7"/>
  <c r="I21" i="7"/>
  <c r="J21" i="7" s="1"/>
  <c r="G22" i="7"/>
  <c r="G23" i="7" l="1"/>
  <c r="H22" i="7"/>
  <c r="I22" i="7" s="1"/>
  <c r="J22" i="7" s="1"/>
  <c r="G24" i="7" l="1"/>
  <c r="H23" i="7"/>
  <c r="I23" i="7"/>
  <c r="J23" i="7" s="1"/>
  <c r="H24" i="7" l="1"/>
  <c r="I24" i="7"/>
  <c r="J24" i="7" s="1"/>
  <c r="G25" i="7"/>
  <c r="H25" i="7" l="1"/>
  <c r="I25" i="7"/>
  <c r="J25" i="7" s="1"/>
  <c r="G26" i="7"/>
  <c r="G27" i="7" l="1"/>
  <c r="H26" i="7"/>
  <c r="I26" i="7" s="1"/>
  <c r="J26" i="7" s="1"/>
  <c r="H27" i="7" l="1"/>
  <c r="I27" i="7" s="1"/>
  <c r="J27" i="7" s="1"/>
  <c r="G28" i="7"/>
  <c r="H28" i="7" l="1"/>
  <c r="I28" i="7"/>
  <c r="J28" i="7" s="1"/>
  <c r="G29" i="7"/>
  <c r="B17" i="11"/>
  <c r="H29" i="7" l="1"/>
  <c r="I29" i="7"/>
  <c r="J29" i="7" s="1"/>
  <c r="B18" i="11"/>
</calcChain>
</file>

<file path=xl/sharedStrings.xml><?xml version="1.0" encoding="utf-8"?>
<sst xmlns="http://schemas.openxmlformats.org/spreadsheetml/2006/main" count="391" uniqueCount="189">
  <si>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</si>
  <si>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</si>
  <si>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</si>
  <si>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</si>
  <si>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</si>
  <si>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</si>
  <si>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</si>
  <si>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</si>
  <si>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</si>
  <si>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</si>
  <si>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</si>
  <si>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</si>
  <si>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</si>
  <si>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</si>
  <si>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</si>
  <si>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</si>
  <si>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</si>
  <si>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</si>
  <si>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</si>
  <si>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</si>
  <si>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</si>
  <si>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</si>
  <si>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</si>
  <si>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</si>
  <si>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</si>
  <si>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</si>
  <si>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</si>
  <si>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</si>
  <si>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</si>
  <si>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</si>
  <si>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</si>
  <si>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</si>
  <si>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</si>
  <si>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</si>
  <si>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</si>
  <si>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</si>
  <si>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</si>
  <si>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</si>
  <si>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</si>
  <si>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</si>
  <si>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</si>
  <si>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</si>
  <si>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</si>
  <si>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</si>
  <si>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</si>
  <si>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</si>
  <si>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</si>
  <si>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</si>
  <si>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</si>
  <si>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</si>
  <si>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</si>
  <si>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</si>
  <si>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</si>
  <si>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</si>
  <si>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</si>
  <si>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</si>
  <si>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</si>
  <si>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</si>
  <si>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</si>
  <si>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</si>
  <si>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</si>
  <si>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</si>
  <si>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</si>
  <si>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</si>
  <si>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</si>
  <si>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</si>
  <si>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</si>
  <si>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</si>
  <si>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</si>
  <si>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</si>
  <si>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</si>
  <si>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</si>
  <si>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</si>
  <si>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</si>
  <si>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</si>
  <si>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</si>
  <si>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</si>
  <si>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</si>
  <si>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</si>
  <si>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</si>
  <si>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</si>
  <si>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</si>
  <si>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</si>
  <si>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</si>
  <si>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</si>
  <si>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</si>
  <si>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</si>
  <si>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</si>
  <si>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</si>
  <si>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</si>
  <si>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</si>
  <si>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</si>
  <si>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</si>
  <si>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</si>
  <si>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</si>
  <si>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</si>
  <si>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</si>
  <si>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</si>
  <si>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</si>
  <si>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</si>
  <si>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</si>
  <si>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</si>
  <si>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</si>
  <si>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</si>
  <si>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</si>
  <si>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</si>
  <si>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</si>
  <si>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</si>
  <si>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</si>
  <si>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</si>
  <si>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</si>
  <si>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</si>
  <si>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</si>
  <si>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</si>
  <si>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</si>
  <si>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Application ID Number:</t>
  </si>
  <si>
    <t>Sponsor ID Number (CSJ, etc.):</t>
  </si>
  <si>
    <t>Daily Travel Demand</t>
  </si>
  <si>
    <t>Use in Analysis?</t>
  </si>
  <si>
    <t>2018 Volume</t>
  </si>
  <si>
    <t>2018 Capacity</t>
  </si>
  <si>
    <t>2018 VHT</t>
  </si>
  <si>
    <t>Real wage growth rate</t>
  </si>
  <si>
    <t>Value of Time (Real, 2015$)</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</si>
  <si>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</si>
  <si>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</si>
  <si>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</si>
  <si>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</si>
  <si>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</si>
  <si>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</si>
  <si>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</si>
  <si>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</si>
  <si>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</si>
  <si>
    <t>Intersection Capacity Improvements at Various Locations in Harris County</t>
  </si>
  <si>
    <t>Growth Factors</t>
  </si>
  <si>
    <t>South Leg</t>
  </si>
  <si>
    <t>HGAC</t>
  </si>
  <si>
    <t>Growth</t>
  </si>
  <si>
    <t>%Growth</t>
  </si>
  <si>
    <t>Avg Annual</t>
  </si>
  <si>
    <t>Intersection Avg</t>
  </si>
  <si>
    <t>EBL</t>
  </si>
  <si>
    <t>EBT</t>
  </si>
  <si>
    <t>EBR</t>
  </si>
  <si>
    <t>TOTAL</t>
  </si>
  <si>
    <t>NBL</t>
  </si>
  <si>
    <t>NBT</t>
  </si>
  <si>
    <t>NBR</t>
  </si>
  <si>
    <t>SBL</t>
  </si>
  <si>
    <t>SBT</t>
  </si>
  <si>
    <t>SBR</t>
  </si>
  <si>
    <t>WBL</t>
  </si>
  <si>
    <t>WBT</t>
  </si>
  <si>
    <t>WBR</t>
  </si>
  <si>
    <t>AM 2013</t>
  </si>
  <si>
    <t>EBFR</t>
  </si>
  <si>
    <t>X</t>
  </si>
  <si>
    <t>WBFR</t>
  </si>
  <si>
    <t>PM 2013</t>
  </si>
  <si>
    <t>F/P @ 3.8%</t>
  </si>
  <si>
    <t>AM 2015</t>
  </si>
  <si>
    <t>N=2</t>
  </si>
  <si>
    <t>PM 2015</t>
  </si>
  <si>
    <t>AM 2018</t>
  </si>
  <si>
    <t>N=3</t>
  </si>
  <si>
    <t>PM 2018</t>
  </si>
  <si>
    <t>F/P @ .0214</t>
  </si>
  <si>
    <t>AM 2025</t>
  </si>
  <si>
    <t>N=7</t>
  </si>
  <si>
    <t>PM 2025</t>
  </si>
  <si>
    <t>F/P @ .0070</t>
  </si>
  <si>
    <t>AM 2040</t>
  </si>
  <si>
    <t>N=15</t>
  </si>
  <si>
    <t>PM 2040</t>
  </si>
  <si>
    <t>Existing</t>
  </si>
  <si>
    <t>Proposed</t>
  </si>
  <si>
    <t>Total Volume</t>
  </si>
  <si>
    <t>West Leg</t>
  </si>
  <si>
    <t>East Leg</t>
  </si>
  <si>
    <t>North Leg</t>
  </si>
  <si>
    <t>Total</t>
  </si>
  <si>
    <t>Total Project Cost</t>
  </si>
  <si>
    <t>20-Year Total Delay Benefit</t>
  </si>
  <si>
    <t>Delay (Hours)</t>
  </si>
  <si>
    <t>AM</t>
  </si>
  <si>
    <t>PM</t>
  </si>
  <si>
    <t>Reduction</t>
  </si>
  <si>
    <t>Annual Delay</t>
  </si>
  <si>
    <t>Delay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</si>
</sst>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21" x14ac:knownFonts="1">
    <font>
      <sz val="11"/>
      <color theme="1"/>
      <name val="Calibri"/>
      <family val="2"/>
      <scheme val="minor"/>
    </font>
    <font>
      <sz val="12"/>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b/>
      <i/>
      <sz val="11"/>
      <color theme="0"/>
      <name val="Calibri"/>
      <family val="2"/>
      <scheme val="minor"/>
    </font>
    <font>
      <sz val="11"/>
      <color theme="4" tint="-0.249977111117893"/>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
      <patternFill patternType="solid">
        <fgColor theme="4" tint="0.39997558519241921"/>
        <bgColor indexed="64"/>
      </patternFill>
    </fill>
    <fill>
      <gradientFill degree="90">
        <stop position="0">
          <color rgb="FFD9D9D9"/>
        </stop>
        <stop position="1">
          <color rgb="FF93CEDD"/>
        </stop>
      </gradientFill>
    </fill>
    <fill>
      <gradientFill degree="90">
        <stop position="0">
          <color rgb="FFD9D9D9"/>
        </stop>
        <stop position="1">
          <color rgb="FFFFFF00"/>
        </stop>
      </gradientFill>
    </fill>
    <fill>
      <patternFill patternType="solid">
        <fgColor rgb="FF66FFFF"/>
        <bgColor indexed="64"/>
      </patternFill>
    </fill>
    <fill>
      <patternFill patternType="solid">
        <fgColor theme="5" tint="0.79998168889431442"/>
        <bgColor theme="8" tint="0.79998168889431442"/>
      </patternFill>
    </fill>
    <fill>
      <patternFill patternType="solid">
        <fgColor rgb="FFFFFF00"/>
        <bgColor theme="8" tint="0.59999389629810485"/>
      </patternFill>
    </fill>
    <fill>
      <patternFill patternType="solid">
        <fgColor rgb="FFFFFF00"/>
        <bgColor theme="8"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thin">
        <color auto="1"/>
      </top>
      <bottom style="double">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alignment vertical="top"/>
      <protection locked="0"/>
    </xf>
  </cellStyleXfs>
  <cellXfs count="141">
    <xf numFmtId="0" fontId="0" fillId="0" borderId="0" xfId="0"/>
    <xf numFmtId="164" fontId="0" fillId="0" borderId="0" xfId="1" applyNumberFormat="1" applyFont="1"/>
    <xf numFmtId="164" fontId="4" fillId="0" borderId="0" xfId="0" applyNumberFormat="1" applyFont="1"/>
    <xf numFmtId="10" fontId="0" fillId="0" borderId="0" xfId="3" applyNumberFormat="1" applyFont="1"/>
    <xf numFmtId="0" fontId="4" fillId="0" borderId="0" xfId="0" applyFont="1"/>
    <xf numFmtId="0" fontId="5" fillId="0" borderId="0" xfId="0" applyFont="1"/>
    <xf numFmtId="0" fontId="0" fillId="0" borderId="0" xfId="0" applyAlignment="1">
      <alignment horizontal="left"/>
    </xf>
    <xf numFmtId="44" fontId="0" fillId="0" borderId="0" xfId="2" applyFont="1"/>
    <xf numFmtId="0" fontId="6" fillId="0" borderId="0" xfId="0" applyFont="1" applyAlignment="1">
      <alignment horizontal="right"/>
    </xf>
    <xf numFmtId="0" fontId="4" fillId="2" borderId="0" xfId="0" applyFont="1" applyFill="1" applyAlignment="1">
      <alignment horizontal="right"/>
    </xf>
    <xf numFmtId="44" fontId="4"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3" fillId="4" borderId="1" xfId="0" applyFont="1" applyFill="1" applyBorder="1"/>
    <xf numFmtId="0" fontId="10"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3"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3" fillId="11" borderId="1" xfId="0" applyFont="1" applyFill="1" applyBorder="1" applyAlignment="1">
      <alignment horizontal="center"/>
    </xf>
    <xf numFmtId="0" fontId="3"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3" fontId="0" fillId="14" borderId="1" xfId="0" applyNumberFormat="1" applyFont="1" applyFill="1" applyBorder="1" applyAlignment="1" applyProtection="1">
      <alignment horizontal="center"/>
      <protection locked="0"/>
    </xf>
    <xf numFmtId="3" fontId="0" fillId="15"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10" fillId="11" borderId="1" xfId="0" applyFont="1" applyFill="1" applyBorder="1" applyAlignment="1">
      <alignment horizontal="center"/>
    </xf>
    <xf numFmtId="0" fontId="0" fillId="5" borderId="4" xfId="0" applyFill="1" applyBorder="1"/>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4" fillId="0" borderId="0" xfId="0" applyFont="1" applyFill="1" applyBorder="1"/>
    <xf numFmtId="0" fontId="9" fillId="0" borderId="0" xfId="0" applyFont="1"/>
    <xf numFmtId="0" fontId="13" fillId="0" borderId="1" xfId="0" applyNumberFormat="1" applyFont="1" applyFill="1" applyBorder="1" applyAlignment="1" applyProtection="1">
      <alignment horizontal="center"/>
    </xf>
    <xf numFmtId="0" fontId="14" fillId="0" borderId="1" xfId="0" applyNumberFormat="1" applyFont="1" applyFill="1" applyBorder="1" applyAlignment="1" applyProtection="1"/>
    <xf numFmtId="167" fontId="14" fillId="0" borderId="1" xfId="0" applyNumberFormat="1" applyFont="1" applyFill="1" applyBorder="1" applyAlignment="1" applyProtection="1"/>
    <xf numFmtId="167" fontId="9" fillId="0" borderId="1" xfId="0" applyNumberFormat="1" applyFont="1" applyBorder="1"/>
    <xf numFmtId="0" fontId="14" fillId="0" borderId="0" xfId="0" applyNumberFormat="1" applyFont="1" applyFill="1" applyBorder="1" applyAlignment="1" applyProtection="1"/>
    <xf numFmtId="0" fontId="16" fillId="0" borderId="0" xfId="4" applyFont="1" applyAlignment="1" applyProtection="1"/>
    <xf numFmtId="0" fontId="0" fillId="0" borderId="1" xfId="0" applyFill="1" applyBorder="1" applyAlignment="1">
      <alignment vertical="top"/>
    </xf>
    <xf numFmtId="0" fontId="12"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8" fillId="0" borderId="1" xfId="0" applyNumberFormat="1" applyFont="1" applyFill="1" applyBorder="1" applyAlignment="1">
      <alignment horizontal="right" vertical="top"/>
    </xf>
    <xf numFmtId="44" fontId="0" fillId="0" borderId="0" xfId="0" applyNumberFormat="1"/>
    <xf numFmtId="0" fontId="4"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4"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8"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4"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70" fontId="0" fillId="13" borderId="1" xfId="3" applyNumberFormat="1" applyFont="1" applyFill="1" applyBorder="1"/>
    <xf numFmtId="165" fontId="0" fillId="16" borderId="1" xfId="2" applyNumberFormat="1" applyFont="1" applyFill="1" applyBorder="1" applyAlignment="1">
      <alignment horizontal="center"/>
    </xf>
    <xf numFmtId="0" fontId="0" fillId="9" borderId="1" xfId="0" applyFont="1" applyFill="1" applyBorder="1" applyAlignment="1">
      <alignment horizontal="center"/>
    </xf>
    <xf numFmtId="0" fontId="0" fillId="0" borderId="1" xfId="0" applyFill="1" applyBorder="1"/>
    <xf numFmtId="170" fontId="0" fillId="0" borderId="1" xfId="3" applyNumberFormat="1" applyFont="1" applyFill="1" applyBorder="1"/>
    <xf numFmtId="0" fontId="18"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8" fillId="17" borderId="1" xfId="0" applyFont="1" applyFill="1" applyBorder="1"/>
    <xf numFmtId="3" fontId="8" fillId="17" borderId="1" xfId="0" applyNumberFormat="1" applyFont="1" applyFill="1" applyBorder="1" applyProtection="1">
      <protection locked="0"/>
    </xf>
    <xf numFmtId="0" fontId="1" fillId="0" borderId="0" xfId="0" applyFont="1" applyFill="1" applyBorder="1"/>
    <xf numFmtId="0" fontId="1" fillId="18" borderId="7" xfId="0" applyFont="1" applyFill="1" applyBorder="1"/>
    <xf numFmtId="0" fontId="1" fillId="18" borderId="11" xfId="0" applyFont="1" applyFill="1" applyBorder="1"/>
    <xf numFmtId="0" fontId="1" fillId="18" borderId="11" xfId="0" applyFont="1" applyFill="1" applyBorder="1" applyAlignment="1">
      <alignment horizontal="center" vertical="center"/>
    </xf>
    <xf numFmtId="0" fontId="1" fillId="19" borderId="11" xfId="0" applyFont="1" applyFill="1" applyBorder="1" applyAlignment="1">
      <alignment horizontal="center" vertical="center"/>
    </xf>
    <xf numFmtId="0" fontId="1" fillId="19" borderId="14" xfId="0" applyFont="1" applyFill="1" applyBorder="1" applyAlignment="1">
      <alignment horizontal="center" vertical="center"/>
    </xf>
    <xf numFmtId="0" fontId="1" fillId="18" borderId="8" xfId="0" applyFont="1" applyFill="1" applyBorder="1"/>
    <xf numFmtId="0" fontId="1" fillId="18" borderId="1" xfId="0" applyFont="1" applyFill="1" applyBorder="1"/>
    <xf numFmtId="0" fontId="1" fillId="18" borderId="1"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15" xfId="0" applyFont="1" applyFill="1" applyBorder="1" applyAlignment="1">
      <alignment horizontal="center" vertical="center"/>
    </xf>
    <xf numFmtId="1" fontId="1" fillId="18" borderId="1" xfId="0" applyNumberFormat="1" applyFont="1" applyFill="1" applyBorder="1" applyAlignment="1">
      <alignment horizontal="center" vertical="center"/>
    </xf>
    <xf numFmtId="1" fontId="1" fillId="19" borderId="1" xfId="0" applyNumberFormat="1" applyFont="1" applyFill="1" applyBorder="1" applyAlignment="1">
      <alignment horizontal="center" vertical="center"/>
    </xf>
    <xf numFmtId="1" fontId="1" fillId="19" borderId="15" xfId="0" applyNumberFormat="1" applyFont="1" applyFill="1" applyBorder="1" applyAlignment="1">
      <alignment horizontal="center" vertical="center"/>
    </xf>
    <xf numFmtId="1" fontId="1" fillId="0" borderId="0" xfId="0" applyNumberFormat="1" applyFont="1" applyFill="1" applyBorder="1"/>
    <xf numFmtId="0" fontId="1" fillId="18" borderId="9" xfId="0" applyFont="1" applyFill="1" applyBorder="1"/>
    <xf numFmtId="0" fontId="1" fillId="18" borderId="12" xfId="0" applyFont="1" applyFill="1" applyBorder="1"/>
    <xf numFmtId="1" fontId="1" fillId="18" borderId="12" xfId="0" applyNumberFormat="1" applyFont="1" applyFill="1" applyBorder="1" applyAlignment="1">
      <alignment horizontal="center" vertical="center"/>
    </xf>
    <xf numFmtId="1" fontId="1" fillId="19" borderId="12" xfId="0" applyNumberFormat="1" applyFont="1" applyFill="1" applyBorder="1" applyAlignment="1">
      <alignment horizontal="center" vertical="center"/>
    </xf>
    <xf numFmtId="1" fontId="1" fillId="19" borderId="16" xfId="0" applyNumberFormat="1" applyFont="1" applyFill="1" applyBorder="1" applyAlignment="1">
      <alignment horizontal="center" vertical="center"/>
    </xf>
    <xf numFmtId="0" fontId="1" fillId="18" borderId="10" xfId="0" applyFont="1" applyFill="1" applyBorder="1"/>
    <xf numFmtId="0" fontId="1" fillId="18" borderId="13" xfId="0" applyFont="1" applyFill="1" applyBorder="1"/>
    <xf numFmtId="1" fontId="1" fillId="18" borderId="13" xfId="0" applyNumberFormat="1" applyFont="1" applyFill="1" applyBorder="1" applyAlignment="1">
      <alignment horizontal="center" vertical="center"/>
    </xf>
    <xf numFmtId="1" fontId="1" fillId="19" borderId="13" xfId="0" applyNumberFormat="1" applyFont="1" applyFill="1" applyBorder="1" applyAlignment="1">
      <alignment horizontal="center" vertical="center"/>
    </xf>
    <xf numFmtId="1" fontId="1" fillId="19" borderId="17" xfId="0" applyNumberFormat="1" applyFont="1" applyFill="1" applyBorder="1" applyAlignment="1">
      <alignment horizontal="center" vertical="center"/>
    </xf>
    <xf numFmtId="0" fontId="1" fillId="0" borderId="0" xfId="0" applyFont="1"/>
    <xf numFmtId="0" fontId="4" fillId="0" borderId="18" xfId="0" applyFont="1" applyBorder="1" applyAlignment="1">
      <alignment horizontal="center"/>
    </xf>
    <xf numFmtId="0" fontId="4" fillId="0" borderId="19" xfId="0" applyFont="1" applyBorder="1"/>
    <xf numFmtId="165" fontId="4" fillId="0" borderId="12" xfId="2" applyNumberFormat="1" applyFont="1" applyFill="1" applyBorder="1" applyAlignment="1">
      <alignment horizontal="center"/>
    </xf>
    <xf numFmtId="0" fontId="0" fillId="0" borderId="12" xfId="0" applyBorder="1"/>
    <xf numFmtId="165" fontId="4" fillId="16" borderId="20" xfId="2" applyNumberFormat="1" applyFont="1" applyFill="1" applyBorder="1" applyAlignment="1">
      <alignment horizontal="center"/>
    </xf>
    <xf numFmtId="0" fontId="0" fillId="0" borderId="21" xfId="0" applyFont="1" applyBorder="1"/>
    <xf numFmtId="165" fontId="0" fillId="21" borderId="1" xfId="2" applyNumberFormat="1" applyFont="1" applyFill="1" applyBorder="1" applyAlignment="1">
      <alignment horizontal="center"/>
    </xf>
    <xf numFmtId="3" fontId="0" fillId="22" borderId="1" xfId="0" applyNumberFormat="1" applyFont="1" applyFill="1" applyBorder="1" applyAlignment="1" applyProtection="1">
      <alignment horizontal="center"/>
      <protection locked="0"/>
    </xf>
    <xf numFmtId="0" fontId="0" fillId="23" borderId="1" xfId="0" applyFont="1" applyFill="1" applyBorder="1" applyAlignment="1">
      <alignment horizontal="center"/>
    </xf>
    <xf numFmtId="0" fontId="0" fillId="22" borderId="1" xfId="0" applyFont="1" applyFill="1" applyBorder="1" applyAlignment="1">
      <alignment horizontal="center"/>
    </xf>
    <xf numFmtId="0" fontId="0" fillId="20" borderId="1" xfId="0" applyFill="1" applyBorder="1"/>
    <xf numFmtId="3" fontId="0" fillId="23" borderId="1" xfId="0" applyNumberFormat="1" applyFont="1" applyFill="1" applyBorder="1" applyAlignment="1" applyProtection="1">
      <alignment horizontal="center"/>
      <protection locked="0"/>
    </xf>
    <xf numFmtId="0" fontId="19" fillId="0" borderId="0" xfId="0" applyFont="1" applyFill="1" applyBorder="1" applyAlignment="1">
      <alignment horizontal="center"/>
    </xf>
    <xf numFmtId="0" fontId="0" fillId="0" borderId="0" xfId="0" applyFill="1" applyBorder="1" applyAlignment="1">
      <alignment horizontal="center" vertical="center"/>
    </xf>
    <xf numFmtId="41" fontId="0" fillId="0" borderId="0" xfId="1" applyNumberFormat="1" applyFont="1" applyFill="1" applyBorder="1" applyAlignment="1">
      <alignment horizontal="center" vertical="center"/>
    </xf>
    <xf numFmtId="0" fontId="4" fillId="0" borderId="0" xfId="1" applyNumberFormat="1" applyFont="1" applyFill="1" applyBorder="1" applyAlignment="1">
      <alignment horizontal="center" vertical="center"/>
    </xf>
    <xf numFmtId="41" fontId="4" fillId="0" borderId="0" xfId="1" applyNumberFormat="1" applyFont="1" applyFill="1" applyBorder="1" applyAlignment="1">
      <alignment horizontal="center" vertical="center"/>
    </xf>
    <xf numFmtId="0" fontId="0" fillId="0" borderId="0"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quotePrefix="1" applyFill="1" applyBorder="1" applyAlignment="1">
      <alignment horizontal="right"/>
    </xf>
    <xf numFmtId="0" fontId="20" fillId="0" borderId="0" xfId="0" applyFont="1" applyFill="1" applyBorder="1"/>
    <xf numFmtId="0" fontId="20" fillId="0" borderId="0" xfId="0" quotePrefix="1" applyFont="1" applyFill="1" applyBorder="1"/>
    <xf numFmtId="0" fontId="0" fillId="0" borderId="0" xfId="0" quotePrefix="1" applyFill="1" applyBorder="1"/>
    <xf numFmtId="0" fontId="17" fillId="4" borderId="2" xfId="0" applyFont="1" applyFill="1" applyBorder="1" applyAlignment="1">
      <alignment horizontal="center"/>
    </xf>
    <xf numFmtId="0" fontId="17" fillId="4" borderId="3" xfId="0" applyFont="1" applyFill="1" applyBorder="1" applyAlignment="1">
      <alignment horizontal="center"/>
    </xf>
    <xf numFmtId="0" fontId="8" fillId="0" borderId="2" xfId="0" applyFont="1" applyFill="1" applyBorder="1" applyAlignment="1">
      <alignment vertical="top"/>
    </xf>
    <xf numFmtId="0" fontId="8"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jenson/AppData/Local/Microsoft/Windows/Temporary%20Internet%20Files/Content.Outlook/3REP43KU/Delay%20Benef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Direct Delay Calcs"/>
      <sheetName val="Gate Arm Observations"/>
      <sheetName val="Assumed Values"/>
      <sheetName val="Value of Travel Time"/>
      <sheetName val="Value of Statistical Life"/>
      <sheetName val="Value of Emissions"/>
      <sheetName val="GDP Deflators"/>
    </sheetNames>
    <sheetDataSet>
      <sheetData sheetId="0" refreshError="1"/>
      <sheetData sheetId="1" refreshError="1"/>
      <sheetData sheetId="2" refreshError="1"/>
      <sheetData sheetId="3" refreshError="1"/>
      <sheetData sheetId="4"/>
      <sheetData sheetId="5"/>
      <sheetData sheetId="6">
        <row r="15">
          <cell r="C15">
            <v>16.100000000000001</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28" sqref="A28"/>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128</v>
      </c>
    </row>
    <row r="4" spans="2:6" x14ac:dyDescent="0.25">
      <c r="B4" s="72" t="s">
        <v>95</v>
      </c>
      <c r="C4" s="72" t="s">
        <v>96</v>
      </c>
      <c r="D4" s="72" t="s">
        <v>97</v>
      </c>
      <c r="E4" s="72" t="s">
        <v>98</v>
      </c>
      <c r="F4" s="72" t="s">
        <v>111</v>
      </c>
    </row>
    <row r="5" spans="2:6" x14ac:dyDescent="0.25">
      <c r="B5" s="73" t="s">
        <v>99</v>
      </c>
      <c r="C5" s="73" t="s">
        <v>100</v>
      </c>
      <c r="D5" s="75">
        <v>3.0000000000000001E-3</v>
      </c>
      <c r="E5" s="74">
        <v>27600</v>
      </c>
      <c r="F5" s="74">
        <f>E5*(1+'Assumed Values'!$C$8)^(2015-2013)</f>
        <v>28761.908178929672</v>
      </c>
    </row>
    <row r="6" spans="2:6" x14ac:dyDescent="0.25">
      <c r="B6" s="73" t="s">
        <v>101</v>
      </c>
      <c r="C6" s="73" t="s">
        <v>102</v>
      </c>
      <c r="D6" s="75">
        <v>4.7E-2</v>
      </c>
      <c r="E6" s="74">
        <v>432400</v>
      </c>
      <c r="F6" s="74">
        <f>E6*(1+'Assumed Values'!$C$8)^(2015-2013)</f>
        <v>450603.22813656484</v>
      </c>
    </row>
    <row r="7" spans="2:6" x14ac:dyDescent="0.25">
      <c r="B7" s="73" t="s">
        <v>103</v>
      </c>
      <c r="C7" s="73" t="s">
        <v>104</v>
      </c>
      <c r="D7" s="75">
        <v>0.105</v>
      </c>
      <c r="E7" s="74">
        <v>966000</v>
      </c>
      <c r="F7" s="74">
        <f>E7*(1+'Assumed Values'!$C$8)^(2015-2013)</f>
        <v>1006666.7862625385</v>
      </c>
    </row>
    <row r="8" spans="2:6" x14ac:dyDescent="0.25">
      <c r="B8" s="73" t="s">
        <v>105</v>
      </c>
      <c r="C8" s="73" t="s">
        <v>106</v>
      </c>
      <c r="D8" s="75">
        <v>0.26600000000000001</v>
      </c>
      <c r="E8" s="74">
        <v>2447200</v>
      </c>
      <c r="F8" s="74">
        <f>E8*(1+'Assumed Values'!$C$8)^(2015-2013)</f>
        <v>2550222.5251984308</v>
      </c>
    </row>
    <row r="9" spans="2:6" x14ac:dyDescent="0.25">
      <c r="B9" s="73" t="s">
        <v>107</v>
      </c>
      <c r="C9" s="73" t="s">
        <v>108</v>
      </c>
      <c r="D9" s="75">
        <v>0.59299999999999997</v>
      </c>
      <c r="E9" s="74">
        <v>5455600</v>
      </c>
      <c r="F9" s="74">
        <f>E9*(1+'Assumed Values'!$C$8)^(2015-2013)</f>
        <v>5685270.5167017654</v>
      </c>
    </row>
    <row r="10" spans="2:6" x14ac:dyDescent="0.25">
      <c r="B10" s="73" t="s">
        <v>109</v>
      </c>
      <c r="C10" s="73" t="s">
        <v>110</v>
      </c>
      <c r="D10" s="75">
        <v>1</v>
      </c>
      <c r="E10" s="74">
        <v>9200000</v>
      </c>
      <c r="F10" s="74">
        <f>E10*(1+'Assumed Values'!$C$8)^(2015-2013)</f>
        <v>9587302.7263098899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48</v>
      </c>
    </row>
    <row r="2" spans="2:4" x14ac:dyDescent="0.25">
      <c r="B2" s="5"/>
    </row>
    <row r="3" spans="2:4" x14ac:dyDescent="0.25">
      <c r="B3" s="55" t="s">
        <v>10</v>
      </c>
      <c r="C3" s="55" t="s">
        <v>77</v>
      </c>
      <c r="D3" s="55" t="s">
        <v>85</v>
      </c>
    </row>
    <row r="4" spans="2:4" x14ac:dyDescent="0.25">
      <c r="B4" s="48" t="s">
        <v>11</v>
      </c>
      <c r="C4" s="69">
        <v>1999</v>
      </c>
      <c r="D4" s="69">
        <f>C4*(1+'Assumed Values'!$C$8)^(2015-2013)</f>
        <v>2083.1541467275511</v>
      </c>
    </row>
    <row r="5" spans="2:4" x14ac:dyDescent="0.25">
      <c r="B5" s="48" t="s">
        <v>12</v>
      </c>
      <c r="C5" s="49">
        <v>7877</v>
      </c>
      <c r="D5" s="69">
        <f>C5*(1+'Assumed Values'!$C$8)^(2015-2013)</f>
        <v>8208.6069103416321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Q52" sqref="Q52"/>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39</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82</v>
      </c>
    </row>
    <row r="4" spans="1:16" x14ac:dyDescent="0.25">
      <c r="A4" s="41" t="s">
        <v>42</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43</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44</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40</v>
      </c>
    </row>
    <row r="9" spans="1:16" x14ac:dyDescent="0.25">
      <c r="A9" s="45" t="s">
        <v>41</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32</v>
      </c>
      <c r="E3" s="15" t="s">
        <v>23</v>
      </c>
      <c r="G3" s="21" t="s">
        <v>27</v>
      </c>
      <c r="H3" s="21"/>
      <c r="I3" s="21" t="s">
        <v>33</v>
      </c>
      <c r="J3" s="21" t="s">
        <v>73</v>
      </c>
    </row>
    <row r="4" spans="1:10" x14ac:dyDescent="0.25">
      <c r="A4" s="12" t="s">
        <v>18</v>
      </c>
      <c r="B4" s="13"/>
      <c r="D4" s="12" t="s">
        <v>68</v>
      </c>
      <c r="E4" s="68">
        <v>2015</v>
      </c>
      <c r="G4" s="19">
        <f>E4</f>
        <v>2015</v>
      </c>
      <c r="H4" s="19">
        <f>IF(G4&lt;2041,1,0)</f>
        <v>1</v>
      </c>
      <c r="I4" s="28">
        <f>IF($G4&lt;($G$4+$E$5),$E$17,0)*H4</f>
        <v>0</v>
      </c>
      <c r="J4" s="57">
        <f>I4*$B$18*$B$19/10^3</f>
        <v>0</v>
      </c>
    </row>
    <row r="5" spans="1:10" x14ac:dyDescent="0.25">
      <c r="A5" s="12" t="s">
        <v>19</v>
      </c>
      <c r="B5" s="13"/>
      <c r="D5" s="12" t="s">
        <v>57</v>
      </c>
      <c r="E5" s="16">
        <v>10</v>
      </c>
      <c r="G5" s="20">
        <f t="shared" ref="G5:G29" si="0">G4+1</f>
        <v>2016</v>
      </c>
      <c r="H5" s="20">
        <f t="shared" ref="H5:H29" si="1">IF(G5&lt;2041,1,0)</f>
        <v>1</v>
      </c>
      <c r="I5" s="28">
        <f t="shared" ref="I5:I29" si="2">IF($G5&lt;($G$4+$E$5),$E$17,0)*H5</f>
        <v>0</v>
      </c>
      <c r="J5" s="64">
        <f t="shared" ref="J5:J24" si="3">I5*$B$18*$B$19/10^3</f>
        <v>0</v>
      </c>
    </row>
    <row r="6" spans="1:10" x14ac:dyDescent="0.25">
      <c r="A6" s="12" t="s">
        <v>20</v>
      </c>
      <c r="B6" s="13">
        <v>1</v>
      </c>
      <c r="D6" s="137" t="s">
        <v>55</v>
      </c>
      <c r="E6" s="138"/>
      <c r="G6" s="19">
        <f t="shared" si="0"/>
        <v>2017</v>
      </c>
      <c r="H6" s="19">
        <f t="shared" si="1"/>
        <v>1</v>
      </c>
      <c r="I6" s="28">
        <f t="shared" si="2"/>
        <v>0</v>
      </c>
      <c r="J6" s="57">
        <f t="shared" si="3"/>
        <v>0</v>
      </c>
    </row>
    <row r="7" spans="1:10" x14ac:dyDescent="0.25">
      <c r="A7" s="12" t="s">
        <v>71</v>
      </c>
      <c r="B7" s="31"/>
      <c r="D7" s="12" t="s">
        <v>65</v>
      </c>
      <c r="E7" s="16"/>
      <c r="G7" s="20">
        <f t="shared" si="0"/>
        <v>2018</v>
      </c>
      <c r="H7" s="20">
        <f t="shared" si="1"/>
        <v>1</v>
      </c>
      <c r="I7" s="28">
        <f t="shared" si="2"/>
        <v>0</v>
      </c>
      <c r="J7" s="64">
        <f t="shared" si="3"/>
        <v>0</v>
      </c>
    </row>
    <row r="8" spans="1:10" x14ac:dyDescent="0.25">
      <c r="A8" s="30" t="s">
        <v>72</v>
      </c>
      <c r="B8" s="31"/>
      <c r="D8" s="12" t="s">
        <v>63</v>
      </c>
      <c r="E8" s="67">
        <v>1.1499999999999999</v>
      </c>
      <c r="G8" s="19">
        <f t="shared" si="0"/>
        <v>2019</v>
      </c>
      <c r="H8" s="19">
        <f t="shared" si="1"/>
        <v>1</v>
      </c>
      <c r="I8" s="28">
        <f t="shared" si="2"/>
        <v>0</v>
      </c>
      <c r="J8" s="57">
        <f t="shared" si="3"/>
        <v>0</v>
      </c>
    </row>
    <row r="9" spans="1:10" x14ac:dyDescent="0.25">
      <c r="G9" s="20">
        <f t="shared" si="0"/>
        <v>2020</v>
      </c>
      <c r="H9" s="20">
        <f t="shared" si="1"/>
        <v>1</v>
      </c>
      <c r="I9" s="28">
        <f t="shared" si="2"/>
        <v>0</v>
      </c>
      <c r="J9" s="64">
        <f t="shared" si="3"/>
        <v>0</v>
      </c>
    </row>
    <row r="10" spans="1:10" x14ac:dyDescent="0.25">
      <c r="A10" s="18" t="s">
        <v>31</v>
      </c>
      <c r="G10" s="19">
        <f t="shared" si="0"/>
        <v>2021</v>
      </c>
      <c r="H10" s="19">
        <f t="shared" si="1"/>
        <v>1</v>
      </c>
      <c r="I10" s="28">
        <f t="shared" si="2"/>
        <v>0</v>
      </c>
      <c r="J10" s="57">
        <f t="shared" si="3"/>
        <v>0</v>
      </c>
    </row>
    <row r="11" spans="1:10" x14ac:dyDescent="0.25">
      <c r="A11" s="17" t="s">
        <v>67</v>
      </c>
      <c r="B11" s="65" t="e">
        <f>NPV($B$17,J4:J29)/(1+$B$17)^(E4-B16+1)</f>
        <v>#VALUE!</v>
      </c>
      <c r="G11" s="20">
        <f t="shared" si="0"/>
        <v>2022</v>
      </c>
      <c r="H11" s="20">
        <f t="shared" si="1"/>
        <v>1</v>
      </c>
      <c r="I11" s="28">
        <f t="shared" si="2"/>
        <v>0</v>
      </c>
      <c r="J11" s="64">
        <f t="shared" si="3"/>
        <v>0</v>
      </c>
    </row>
    <row r="12" spans="1:10" x14ac:dyDescent="0.25">
      <c r="A12" s="17" t="s">
        <v>30</v>
      </c>
      <c r="B12" s="63" t="e">
        <f>B11/B7</f>
        <v>#VALUE!</v>
      </c>
      <c r="G12" s="19">
        <f t="shared" si="0"/>
        <v>2023</v>
      </c>
      <c r="H12" s="19">
        <f t="shared" si="1"/>
        <v>1</v>
      </c>
      <c r="I12" s="28">
        <f t="shared" si="2"/>
        <v>0</v>
      </c>
      <c r="J12" s="57">
        <f t="shared" si="3"/>
        <v>0</v>
      </c>
    </row>
    <row r="13" spans="1:10" x14ac:dyDescent="0.25">
      <c r="G13" s="20">
        <f t="shared" si="0"/>
        <v>2024</v>
      </c>
      <c r="H13" s="20">
        <f t="shared" si="1"/>
        <v>1</v>
      </c>
      <c r="I13" s="28">
        <f t="shared" si="2"/>
        <v>0</v>
      </c>
      <c r="J13" s="64">
        <f t="shared" si="3"/>
        <v>0</v>
      </c>
    </row>
    <row r="14" spans="1:10" x14ac:dyDescent="0.25">
      <c r="G14" s="19">
        <f>G13+1</f>
        <v>2025</v>
      </c>
      <c r="H14" s="19">
        <f t="shared" si="1"/>
        <v>1</v>
      </c>
      <c r="I14" s="28">
        <f t="shared" si="2"/>
        <v>0</v>
      </c>
      <c r="J14" s="57">
        <f t="shared" si="3"/>
        <v>0</v>
      </c>
    </row>
    <row r="15" spans="1:10" x14ac:dyDescent="0.25">
      <c r="A15" s="22" t="s">
        <v>14</v>
      </c>
      <c r="G15" s="20">
        <f t="shared" si="0"/>
        <v>2026</v>
      </c>
      <c r="H15" s="20">
        <f t="shared" si="1"/>
        <v>1</v>
      </c>
      <c r="I15" s="28">
        <f t="shared" si="2"/>
        <v>0</v>
      </c>
      <c r="J15" s="64">
        <f t="shared" si="3"/>
        <v>0</v>
      </c>
    </row>
    <row r="16" spans="1:10" x14ac:dyDescent="0.25">
      <c r="A16" s="23" t="s">
        <v>15</v>
      </c>
      <c r="B16" s="35">
        <f>'Assumed Values'!C5</f>
        <v>2015</v>
      </c>
      <c r="D16" s="22" t="s">
        <v>28</v>
      </c>
      <c r="E16" s="32" t="s">
        <v>23</v>
      </c>
      <c r="G16" s="19">
        <f t="shared" si="0"/>
        <v>2027</v>
      </c>
      <c r="H16" s="19">
        <f t="shared" si="1"/>
        <v>1</v>
      </c>
      <c r="I16" s="28">
        <f t="shared" si="2"/>
        <v>0</v>
      </c>
      <c r="J16" s="57">
        <f t="shared" si="3"/>
        <v>0</v>
      </c>
    </row>
    <row r="17" spans="1:10" x14ac:dyDescent="0.25">
      <c r="A17" s="23" t="s">
        <v>16</v>
      </c>
      <c r="B17" s="24" t="str">
        <f>'Assumed Values'!C6</f>
        <v>3% and 7%</v>
      </c>
      <c r="D17" s="26" t="s">
        <v>64</v>
      </c>
      <c r="E17" s="27">
        <f>E7/E8</f>
        <v>0</v>
      </c>
      <c r="G17" s="20">
        <f t="shared" si="0"/>
        <v>2028</v>
      </c>
      <c r="H17" s="20">
        <f t="shared" si="1"/>
        <v>1</v>
      </c>
      <c r="I17" s="28">
        <f t="shared" si="2"/>
        <v>0</v>
      </c>
      <c r="J17" s="64">
        <f t="shared" si="3"/>
        <v>0</v>
      </c>
    </row>
    <row r="18" spans="1:10" x14ac:dyDescent="0.25">
      <c r="A18" s="23" t="s">
        <v>17</v>
      </c>
      <c r="B18" s="23">
        <f>IF(B6=2,2.1, 1.1)</f>
        <v>1.1000000000000001</v>
      </c>
      <c r="G18" s="19">
        <f t="shared" si="0"/>
        <v>2029</v>
      </c>
      <c r="H18" s="19">
        <f t="shared" si="1"/>
        <v>1</v>
      </c>
      <c r="I18" s="28">
        <f t="shared" si="2"/>
        <v>0</v>
      </c>
      <c r="J18" s="57">
        <f t="shared" si="3"/>
        <v>0</v>
      </c>
    </row>
    <row r="19" spans="1:10" x14ac:dyDescent="0.25">
      <c r="A19" s="23" t="s">
        <v>21</v>
      </c>
      <c r="B19" s="25">
        <f>'Assumed Values'!C15</f>
        <v>16.100000000000001</v>
      </c>
      <c r="G19" s="20">
        <f t="shared" si="0"/>
        <v>2030</v>
      </c>
      <c r="H19" s="20">
        <f t="shared" si="1"/>
        <v>1</v>
      </c>
      <c r="I19" s="28">
        <f t="shared" si="2"/>
        <v>0</v>
      </c>
      <c r="J19" s="64">
        <f t="shared" si="3"/>
        <v>0</v>
      </c>
    </row>
    <row r="20" spans="1:10" x14ac:dyDescent="0.25">
      <c r="A20" s="23" t="s">
        <v>29</v>
      </c>
      <c r="B20" s="23">
        <v>260</v>
      </c>
      <c r="G20" s="19">
        <f t="shared" si="0"/>
        <v>2031</v>
      </c>
      <c r="H20" s="19">
        <f t="shared" si="1"/>
        <v>1</v>
      </c>
      <c r="I20" s="28">
        <f t="shared" si="2"/>
        <v>0</v>
      </c>
      <c r="J20" s="57">
        <f t="shared" si="3"/>
        <v>0</v>
      </c>
    </row>
    <row r="21" spans="1:10" x14ac:dyDescent="0.25">
      <c r="G21" s="20">
        <f t="shared" si="0"/>
        <v>2032</v>
      </c>
      <c r="H21" s="20">
        <f t="shared" si="1"/>
        <v>1</v>
      </c>
      <c r="I21" s="28">
        <f t="shared" si="2"/>
        <v>0</v>
      </c>
      <c r="J21" s="64">
        <f t="shared" si="3"/>
        <v>0</v>
      </c>
    </row>
    <row r="22" spans="1:10" x14ac:dyDescent="0.25">
      <c r="G22" s="19">
        <f t="shared" si="0"/>
        <v>2033</v>
      </c>
      <c r="H22" s="19">
        <f t="shared" si="1"/>
        <v>1</v>
      </c>
      <c r="I22" s="28">
        <f t="shared" si="2"/>
        <v>0</v>
      </c>
      <c r="J22" s="57">
        <f t="shared" si="3"/>
        <v>0</v>
      </c>
    </row>
    <row r="23" spans="1:10" x14ac:dyDescent="0.25">
      <c r="G23" s="20">
        <f t="shared" si="0"/>
        <v>2034</v>
      </c>
      <c r="H23" s="20">
        <f t="shared" si="1"/>
        <v>1</v>
      </c>
      <c r="I23" s="28">
        <f t="shared" si="2"/>
        <v>0</v>
      </c>
      <c r="J23" s="64">
        <f t="shared" si="3"/>
        <v>0</v>
      </c>
    </row>
    <row r="24" spans="1:10" x14ac:dyDescent="0.25">
      <c r="G24" s="19">
        <f t="shared" si="0"/>
        <v>2035</v>
      </c>
      <c r="H24" s="19">
        <f t="shared" si="1"/>
        <v>1</v>
      </c>
      <c r="I24" s="28">
        <f t="shared" si="2"/>
        <v>0</v>
      </c>
      <c r="J24" s="57">
        <f t="shared" si="3"/>
        <v>0</v>
      </c>
    </row>
    <row r="25" spans="1:10" x14ac:dyDescent="0.25">
      <c r="G25" s="20">
        <f t="shared" si="0"/>
        <v>2036</v>
      </c>
      <c r="H25" s="20">
        <f t="shared" si="1"/>
        <v>1</v>
      </c>
      <c r="I25" s="28">
        <f t="shared" si="2"/>
        <v>0</v>
      </c>
      <c r="J25" s="64">
        <f t="shared" ref="J25:J29" si="4">I25*$B$18*$B$19/10^3</f>
        <v>0</v>
      </c>
    </row>
    <row r="26" spans="1:10" x14ac:dyDescent="0.25">
      <c r="G26" s="19">
        <f t="shared" si="0"/>
        <v>2037</v>
      </c>
      <c r="H26" s="19">
        <f t="shared" si="1"/>
        <v>1</v>
      </c>
      <c r="I26" s="28">
        <f t="shared" si="2"/>
        <v>0</v>
      </c>
      <c r="J26" s="57">
        <f t="shared" si="4"/>
        <v>0</v>
      </c>
    </row>
    <row r="27" spans="1:10" x14ac:dyDescent="0.25">
      <c r="G27" s="20">
        <f t="shared" si="0"/>
        <v>2038</v>
      </c>
      <c r="H27" s="20">
        <f t="shared" si="1"/>
        <v>1</v>
      </c>
      <c r="I27" s="28">
        <f t="shared" si="2"/>
        <v>0</v>
      </c>
      <c r="J27" s="64">
        <f t="shared" si="4"/>
        <v>0</v>
      </c>
    </row>
    <row r="28" spans="1:10" x14ac:dyDescent="0.25">
      <c r="G28" s="19">
        <f t="shared" si="0"/>
        <v>2039</v>
      </c>
      <c r="H28" s="19">
        <f t="shared" si="1"/>
        <v>1</v>
      </c>
      <c r="I28" s="28">
        <f t="shared" si="2"/>
        <v>0</v>
      </c>
      <c r="J28" s="57">
        <f t="shared" si="4"/>
        <v>0</v>
      </c>
    </row>
    <row r="29" spans="1:10" x14ac:dyDescent="0.25">
      <c r="A29" s="34"/>
      <c r="G29" s="20">
        <f t="shared" si="0"/>
        <v>2040</v>
      </c>
      <c r="H29" s="20">
        <f t="shared" si="1"/>
        <v>1</v>
      </c>
      <c r="I29" s="28">
        <f t="shared" si="2"/>
        <v>0</v>
      </c>
      <c r="J29" s="64">
        <f t="shared" si="4"/>
        <v>0</v>
      </c>
    </row>
    <row r="51" spans="1:1" x14ac:dyDescent="0.25">
      <c r="A51" t="s">
        <v>24</v>
      </c>
    </row>
    <row r="52" spans="1:1" x14ac:dyDescent="0.25">
      <c r="A52" s="11" t="s">
        <v>26</v>
      </c>
    </row>
    <row r="53" spans="1:1" x14ac:dyDescent="0.25">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53</v>
      </c>
      <c r="E3" s="15" t="s">
        <v>23</v>
      </c>
      <c r="G3" s="21" t="s">
        <v>27</v>
      </c>
      <c r="H3" s="21" t="s">
        <v>62</v>
      </c>
      <c r="I3" s="21" t="s">
        <v>78</v>
      </c>
      <c r="J3" s="21" t="s">
        <v>61</v>
      </c>
      <c r="K3" s="21" t="s">
        <v>79</v>
      </c>
    </row>
    <row r="4" spans="1:11" x14ac:dyDescent="0.25">
      <c r="A4" s="12" t="s">
        <v>18</v>
      </c>
      <c r="B4" s="13"/>
      <c r="D4" s="12" t="s">
        <v>68</v>
      </c>
      <c r="E4" s="68">
        <v>2015</v>
      </c>
      <c r="G4" s="19">
        <f>E4</f>
        <v>2015</v>
      </c>
      <c r="H4" s="60">
        <f t="shared" ref="H4:H24" si="0">IF($G4&lt;($G$4+$E$5),$E$17,0)</f>
        <v>0</v>
      </c>
      <c r="I4" s="59">
        <f>H4*$B$20/10^3</f>
        <v>0</v>
      </c>
      <c r="J4" s="60">
        <f t="shared" ref="J4:J24" si="1">IF($G4&lt;($G$4+$E$5),$E$18,0)</f>
        <v>0</v>
      </c>
      <c r="K4" s="59">
        <f>J4*$B$21/10^3</f>
        <v>0</v>
      </c>
    </row>
    <row r="5" spans="1:11" x14ac:dyDescent="0.25">
      <c r="A5" s="12" t="s">
        <v>19</v>
      </c>
      <c r="B5" s="13"/>
      <c r="D5" s="12" t="s">
        <v>57</v>
      </c>
      <c r="E5" s="16">
        <v>10</v>
      </c>
      <c r="G5" s="20">
        <f t="shared" ref="G5:G29" si="2">G4+1</f>
        <v>2016</v>
      </c>
      <c r="H5" s="60">
        <f t="shared" si="0"/>
        <v>0</v>
      </c>
      <c r="I5" s="61">
        <f t="shared" ref="I5:I24" si="3">H5*$B$20/10^3</f>
        <v>0</v>
      </c>
      <c r="J5" s="60">
        <f t="shared" si="1"/>
        <v>0</v>
      </c>
      <c r="K5" s="61">
        <f t="shared" ref="K5:K24" si="4">J5*$B$21/10^3</f>
        <v>0</v>
      </c>
    </row>
    <row r="6" spans="1:11" x14ac:dyDescent="0.25">
      <c r="A6" s="12" t="s">
        <v>58</v>
      </c>
      <c r="B6" s="13">
        <v>2</v>
      </c>
      <c r="D6" s="137" t="s">
        <v>55</v>
      </c>
      <c r="E6" s="138"/>
      <c r="G6" s="19">
        <f t="shared" si="2"/>
        <v>2017</v>
      </c>
      <c r="H6" s="60">
        <f t="shared" si="0"/>
        <v>0</v>
      </c>
      <c r="I6" s="59">
        <f t="shared" si="3"/>
        <v>0</v>
      </c>
      <c r="J6" s="60">
        <f t="shared" si="1"/>
        <v>0</v>
      </c>
      <c r="K6" s="59">
        <f t="shared" si="4"/>
        <v>0</v>
      </c>
    </row>
    <row r="7" spans="1:11" x14ac:dyDescent="0.25">
      <c r="A7" s="12" t="s">
        <v>71</v>
      </c>
      <c r="B7" s="31"/>
      <c r="D7" s="12" t="s">
        <v>54</v>
      </c>
      <c r="E7" s="16"/>
      <c r="G7" s="20">
        <f t="shared" si="2"/>
        <v>2018</v>
      </c>
      <c r="H7" s="60">
        <f t="shared" si="0"/>
        <v>0</v>
      </c>
      <c r="I7" s="61">
        <f t="shared" si="3"/>
        <v>0</v>
      </c>
      <c r="J7" s="60">
        <f t="shared" si="1"/>
        <v>0</v>
      </c>
      <c r="K7" s="61">
        <f t="shared" si="4"/>
        <v>0</v>
      </c>
    </row>
    <row r="8" spans="1:11" x14ac:dyDescent="0.25">
      <c r="A8" s="30" t="s">
        <v>72</v>
      </c>
      <c r="B8" s="31"/>
      <c r="D8" s="137" t="s">
        <v>56</v>
      </c>
      <c r="E8" s="138"/>
      <c r="G8" s="19">
        <f t="shared" si="2"/>
        <v>2019</v>
      </c>
      <c r="H8" s="60">
        <f t="shared" si="0"/>
        <v>0</v>
      </c>
      <c r="I8" s="59">
        <f t="shared" si="3"/>
        <v>0</v>
      </c>
      <c r="J8" s="60">
        <f t="shared" si="1"/>
        <v>0</v>
      </c>
      <c r="K8" s="59">
        <f t="shared" si="4"/>
        <v>0</v>
      </c>
    </row>
    <row r="9" spans="1:11" x14ac:dyDescent="0.25">
      <c r="D9" s="12" t="s">
        <v>59</v>
      </c>
      <c r="E9" s="16"/>
      <c r="G9" s="20">
        <f t="shared" si="2"/>
        <v>2020</v>
      </c>
      <c r="H9" s="60">
        <f t="shared" si="0"/>
        <v>0</v>
      </c>
      <c r="I9" s="61">
        <f t="shared" si="3"/>
        <v>0</v>
      </c>
      <c r="J9" s="60">
        <f t="shared" si="1"/>
        <v>0</v>
      </c>
      <c r="K9" s="61">
        <f t="shared" si="4"/>
        <v>0</v>
      </c>
    </row>
    <row r="10" spans="1:11" x14ac:dyDescent="0.25">
      <c r="A10" s="18" t="s">
        <v>31</v>
      </c>
      <c r="D10" s="12" t="s">
        <v>60</v>
      </c>
      <c r="E10" s="16"/>
      <c r="G10" s="19">
        <f t="shared" si="2"/>
        <v>2021</v>
      </c>
      <c r="H10" s="60">
        <f t="shared" si="0"/>
        <v>0</v>
      </c>
      <c r="I10" s="59">
        <f t="shared" si="3"/>
        <v>0</v>
      </c>
      <c r="J10" s="60">
        <f t="shared" si="1"/>
        <v>0</v>
      </c>
      <c r="K10" s="59">
        <f t="shared" si="4"/>
        <v>0</v>
      </c>
    </row>
    <row r="11" spans="1:11" x14ac:dyDescent="0.25">
      <c r="A11" s="17" t="s">
        <v>80</v>
      </c>
      <c r="B11" s="62">
        <f>(NPV($B$17,K4:K24)+NPV($B$17,I4:I24))/(1+$B$17)^2</f>
        <v>0</v>
      </c>
      <c r="G11" s="20">
        <f t="shared" si="2"/>
        <v>2022</v>
      </c>
      <c r="H11" s="60">
        <f t="shared" si="0"/>
        <v>0</v>
      </c>
      <c r="I11" s="61">
        <f t="shared" si="3"/>
        <v>0</v>
      </c>
      <c r="J11" s="60">
        <f t="shared" si="1"/>
        <v>0</v>
      </c>
      <c r="K11" s="61">
        <f t="shared" si="4"/>
        <v>0</v>
      </c>
    </row>
    <row r="12" spans="1:11" x14ac:dyDescent="0.25">
      <c r="A12" s="17" t="s">
        <v>30</v>
      </c>
      <c r="B12" s="63" t="e">
        <f>B11/B7</f>
        <v>#DIV/0!</v>
      </c>
      <c r="G12" s="19">
        <f t="shared" si="2"/>
        <v>2023</v>
      </c>
      <c r="H12" s="60">
        <f t="shared" si="0"/>
        <v>0</v>
      </c>
      <c r="I12" s="59">
        <f t="shared" si="3"/>
        <v>0</v>
      </c>
      <c r="J12" s="60">
        <f t="shared" si="1"/>
        <v>0</v>
      </c>
      <c r="K12" s="59">
        <f t="shared" si="4"/>
        <v>0</v>
      </c>
    </row>
    <row r="13" spans="1:11" x14ac:dyDescent="0.25">
      <c r="A13" s="17" t="s">
        <v>81</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28</v>
      </c>
      <c r="E16" s="32" t="s">
        <v>23</v>
      </c>
      <c r="G16" s="19">
        <f t="shared" si="2"/>
        <v>2027</v>
      </c>
      <c r="H16" s="60">
        <f t="shared" si="0"/>
        <v>0</v>
      </c>
      <c r="I16" s="59">
        <f t="shared" si="3"/>
        <v>0</v>
      </c>
      <c r="J16" s="60">
        <f t="shared" si="1"/>
        <v>0</v>
      </c>
      <c r="K16" s="59">
        <f t="shared" si="4"/>
        <v>0</v>
      </c>
    </row>
    <row r="17" spans="1:11" x14ac:dyDescent="0.25">
      <c r="A17" s="23" t="s">
        <v>16</v>
      </c>
      <c r="B17" s="24">
        <v>7.0000000000000007E-2</v>
      </c>
      <c r="D17" s="26" t="s">
        <v>59</v>
      </c>
      <c r="E17" s="56">
        <f>IF(E9,E9,$E$7*B18*$B$22/10^6)</f>
        <v>0</v>
      </c>
      <c r="G17" s="20">
        <f t="shared" si="2"/>
        <v>2028</v>
      </c>
      <c r="H17" s="60">
        <f t="shared" si="0"/>
        <v>0</v>
      </c>
      <c r="I17" s="61">
        <f t="shared" si="3"/>
        <v>0</v>
      </c>
      <c r="J17" s="60">
        <f t="shared" si="1"/>
        <v>0</v>
      </c>
      <c r="K17" s="61">
        <f t="shared" si="4"/>
        <v>0</v>
      </c>
    </row>
    <row r="18" spans="1:11" x14ac:dyDescent="0.25">
      <c r="A18" s="23" t="s">
        <v>51</v>
      </c>
      <c r="B18" s="66">
        <f>IF($B$6=2,'Assumed Values'!C21,0)</f>
        <v>0.32340150000000001</v>
      </c>
      <c r="D18" s="26" t="s">
        <v>60</v>
      </c>
      <c r="E18" s="56">
        <f>IF(E10,E10,$E$7*B19*$B$22/10^6)</f>
        <v>0</v>
      </c>
      <c r="G18" s="19">
        <f t="shared" si="2"/>
        <v>2029</v>
      </c>
      <c r="H18" s="60">
        <f t="shared" si="0"/>
        <v>0</v>
      </c>
      <c r="I18" s="59">
        <f t="shared" si="3"/>
        <v>0</v>
      </c>
      <c r="J18" s="60">
        <f t="shared" si="1"/>
        <v>0</v>
      </c>
      <c r="K18" s="59">
        <f t="shared" si="4"/>
        <v>0</v>
      </c>
    </row>
    <row r="19" spans="1:11" x14ac:dyDescent="0.25">
      <c r="A19" s="23" t="s">
        <v>52</v>
      </c>
      <c r="B19" s="66">
        <f>IF($B$6=2,'Assumed Values'!C22,0)</f>
        <v>0.19106300000000001</v>
      </c>
      <c r="G19" s="20">
        <f t="shared" si="2"/>
        <v>2030</v>
      </c>
      <c r="H19" s="60">
        <f t="shared" si="0"/>
        <v>0</v>
      </c>
      <c r="I19" s="61">
        <f t="shared" si="3"/>
        <v>0</v>
      </c>
      <c r="J19" s="60">
        <f t="shared" si="1"/>
        <v>0</v>
      </c>
      <c r="K19" s="61">
        <f t="shared" si="4"/>
        <v>0</v>
      </c>
    </row>
    <row r="20" spans="1:11" x14ac:dyDescent="0.25">
      <c r="A20" s="23" t="s">
        <v>86</v>
      </c>
      <c r="B20" s="58">
        <f>'Assumed Values'!C19</f>
        <v>2083.1541467275511</v>
      </c>
      <c r="G20" s="19">
        <f t="shared" si="2"/>
        <v>2031</v>
      </c>
      <c r="H20" s="60">
        <f t="shared" si="0"/>
        <v>0</v>
      </c>
      <c r="I20" s="59">
        <f t="shared" si="3"/>
        <v>0</v>
      </c>
      <c r="J20" s="60">
        <f t="shared" si="1"/>
        <v>0</v>
      </c>
      <c r="K20" s="59">
        <f t="shared" si="4"/>
        <v>0</v>
      </c>
    </row>
    <row r="21" spans="1:11" x14ac:dyDescent="0.25">
      <c r="A21" s="23" t="s">
        <v>87</v>
      </c>
      <c r="B21" s="58">
        <f>'Assumed Values'!C20</f>
        <v>8208.6069103416321</v>
      </c>
      <c r="G21" s="20">
        <f t="shared" si="2"/>
        <v>2032</v>
      </c>
      <c r="H21" s="60">
        <f t="shared" si="0"/>
        <v>0</v>
      </c>
      <c r="I21" s="61">
        <f t="shared" si="3"/>
        <v>0</v>
      </c>
      <c r="J21" s="60">
        <f t="shared" si="1"/>
        <v>0</v>
      </c>
      <c r="K21" s="61">
        <f t="shared" si="4"/>
        <v>0</v>
      </c>
    </row>
    <row r="22" spans="1:11" x14ac:dyDescent="0.25">
      <c r="A22" s="23" t="s">
        <v>29</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24</v>
      </c>
    </row>
    <row r="54" spans="1:1" x14ac:dyDescent="0.25">
      <c r="A54" s="11" t="s">
        <v>26</v>
      </c>
    </row>
    <row r="55" spans="1:1" x14ac:dyDescent="0.25">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F50"/>
  <sheetViews>
    <sheetView zoomScale="115" zoomScaleNormal="115" workbookViewId="0">
      <selection activeCell="F24" sqref="F24"/>
    </sheetView>
  </sheetViews>
  <sheetFormatPr defaultRowHeight="15" x14ac:dyDescent="0.25"/>
  <cols>
    <col min="1" max="1" width="45.140625" bestFit="1" customWidth="1"/>
    <col min="2" max="2" width="12.5703125" customWidth="1"/>
    <col min="3" max="3" width="5.28515625" customWidth="1"/>
    <col min="4" max="4" width="23.5703125" customWidth="1"/>
    <col min="5" max="5" width="13.28515625" customWidth="1"/>
    <col min="6" max="6" width="15.28515625" bestFit="1" customWidth="1"/>
    <col min="7" max="7" width="4.5703125" customWidth="1"/>
  </cols>
  <sheetData>
    <row r="3" spans="1:6" ht="18.75" x14ac:dyDescent="0.3">
      <c r="A3" s="82" t="s">
        <v>130</v>
      </c>
      <c r="B3" s="83"/>
      <c r="C3" s="83"/>
      <c r="D3" s="83"/>
      <c r="E3" s="83"/>
      <c r="F3" s="83"/>
    </row>
    <row r="5" spans="1:6" x14ac:dyDescent="0.25">
      <c r="A5" s="14" t="s">
        <v>13</v>
      </c>
      <c r="D5" s="14" t="s">
        <v>117</v>
      </c>
      <c r="E5" s="15" t="s">
        <v>23</v>
      </c>
      <c r="F5" s="15" t="s">
        <v>22</v>
      </c>
    </row>
    <row r="6" spans="1:6" x14ac:dyDescent="0.25">
      <c r="A6" s="12" t="s">
        <v>18</v>
      </c>
      <c r="B6" s="13" t="s">
        <v>133</v>
      </c>
      <c r="D6" s="12" t="s">
        <v>121</v>
      </c>
      <c r="E6" s="16"/>
      <c r="F6" s="16"/>
    </row>
    <row r="7" spans="1:6" x14ac:dyDescent="0.25">
      <c r="A7" s="12" t="s">
        <v>115</v>
      </c>
      <c r="B7" s="13">
        <v>300543</v>
      </c>
      <c r="D7" s="12" t="s">
        <v>119</v>
      </c>
      <c r="E7" s="16"/>
      <c r="F7" s="33"/>
    </row>
    <row r="8" spans="1:6" x14ac:dyDescent="0.25">
      <c r="A8" s="12" t="s">
        <v>116</v>
      </c>
      <c r="B8" s="13"/>
      <c r="D8" s="12" t="s">
        <v>120</v>
      </c>
      <c r="E8" s="16"/>
      <c r="F8" s="33"/>
    </row>
    <row r="9" spans="1:6" x14ac:dyDescent="0.25">
      <c r="A9" s="12" t="s">
        <v>132</v>
      </c>
      <c r="B9" s="68">
        <v>2018</v>
      </c>
      <c r="D9" s="86" t="s">
        <v>113</v>
      </c>
      <c r="E9" s="87"/>
      <c r="F9" s="33"/>
    </row>
    <row r="10" spans="1:6" x14ac:dyDescent="0.25">
      <c r="D10" s="86" t="s">
        <v>114</v>
      </c>
      <c r="E10" s="87"/>
      <c r="F10" s="33"/>
    </row>
    <row r="11" spans="1:6" x14ac:dyDescent="0.25">
      <c r="D11" s="12" t="s">
        <v>69</v>
      </c>
      <c r="E11" s="16"/>
      <c r="F11" s="33"/>
    </row>
    <row r="12" spans="1:6" x14ac:dyDescent="0.25">
      <c r="D12" s="12" t="s">
        <v>70</v>
      </c>
      <c r="E12" s="16"/>
      <c r="F12" s="33"/>
    </row>
    <row r="14" spans="1:6" ht="18.75" x14ac:dyDescent="0.3">
      <c r="A14" s="82" t="s">
        <v>131</v>
      </c>
      <c r="B14" s="83"/>
      <c r="C14" s="83"/>
      <c r="D14" s="83"/>
      <c r="E14" s="83"/>
      <c r="F14" s="83"/>
    </row>
    <row r="16" spans="1:6" x14ac:dyDescent="0.25">
      <c r="A16" s="18" t="s">
        <v>129</v>
      </c>
    </row>
    <row r="17" spans="1:2" x14ac:dyDescent="0.25">
      <c r="A17" s="17" t="s">
        <v>90</v>
      </c>
      <c r="B17" s="65" t="e">
        <f>NPV(7%,Value_of_Delay_Savings__2015_____000s)/(1+7%)^(2018-2015-1)</f>
        <v>#REF!</v>
      </c>
    </row>
    <row r="18" spans="1:2" x14ac:dyDescent="0.25">
      <c r="A18" s="17" t="s">
        <v>91</v>
      </c>
      <c r="B18" s="65" t="e">
        <f>NPV(3%,Value_of_Delay_Savings__2015_____000s)/(1+3%)^(2018-2015-1)</f>
        <v>#REF!</v>
      </c>
    </row>
    <row r="26" spans="1:2" x14ac:dyDescent="0.25">
      <c r="A26" s="34"/>
    </row>
    <row r="49" spans="1:1" x14ac:dyDescent="0.25">
      <c r="A49" s="11"/>
    </row>
    <row r="50" spans="1:1" x14ac:dyDescent="0.25">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40"/>
  <sheetViews>
    <sheetView topLeftCell="G15" workbookViewId="0">
      <selection activeCell="L45" sqref="L45"/>
    </sheetView>
  </sheetViews>
  <sheetFormatPr defaultRowHeight="15" x14ac:dyDescent="0.25"/>
  <cols>
    <col min="1" max="6" width="0" hidden="1" customWidth="1"/>
    <col min="7" max="7" width="10.42578125" bestFit="1" customWidth="1"/>
    <col min="28" max="28" width="7.85546875" customWidth="1"/>
    <col min="29" max="29" width="14.7109375" customWidth="1"/>
    <col min="30" max="30" width="16.5703125" bestFit="1" customWidth="1"/>
    <col min="31" max="31" width="19.28515625" bestFit="1" customWidth="1"/>
    <col min="32" max="32" width="18.28515625" bestFit="1" customWidth="1"/>
  </cols>
  <sheetData>
    <row r="1" spans="1:32" ht="15.75" hidden="1" x14ac:dyDescent="0.25">
      <c r="A1" s="88"/>
      <c r="B1" s="88"/>
      <c r="C1" s="88"/>
      <c r="D1" s="88"/>
      <c r="E1" s="88"/>
      <c r="F1" s="88"/>
      <c r="G1" s="88" t="s">
        <v>134</v>
      </c>
      <c r="H1" s="88"/>
      <c r="I1" s="88"/>
      <c r="J1" s="88"/>
      <c r="K1" s="88"/>
      <c r="L1" s="88"/>
      <c r="M1" s="88"/>
      <c r="N1" s="88"/>
      <c r="O1" s="88"/>
      <c r="P1" s="88"/>
      <c r="Q1" s="88"/>
      <c r="R1" s="88"/>
      <c r="S1" s="88"/>
      <c r="T1" s="88"/>
      <c r="U1" s="88"/>
      <c r="V1" s="88"/>
      <c r="W1" s="88"/>
      <c r="X1" s="88"/>
      <c r="Y1" s="88"/>
      <c r="Z1" s="88"/>
    </row>
    <row r="2" spans="1:32" ht="15.75" hidden="1" x14ac:dyDescent="0.25">
      <c r="A2" s="88"/>
      <c r="B2" s="88"/>
      <c r="C2" s="88"/>
      <c r="D2" s="88"/>
      <c r="E2" s="88"/>
      <c r="F2" s="88"/>
      <c r="G2" s="88"/>
      <c r="H2" s="88" t="s">
        <v>135</v>
      </c>
      <c r="I2" s="88"/>
      <c r="J2" s="88"/>
      <c r="K2" s="88"/>
      <c r="L2" s="88"/>
      <c r="M2" s="88" t="s">
        <v>179</v>
      </c>
      <c r="N2" s="88"/>
      <c r="O2" s="88"/>
      <c r="P2" s="88"/>
      <c r="Q2" s="88"/>
      <c r="R2" s="88" t="s">
        <v>177</v>
      </c>
      <c r="S2" s="88"/>
      <c r="T2" s="88"/>
      <c r="U2" s="88"/>
      <c r="V2" s="88"/>
      <c r="W2" s="88" t="s">
        <v>178</v>
      </c>
      <c r="X2" s="88"/>
      <c r="Y2" s="88"/>
      <c r="Z2" s="88"/>
      <c r="AB2" s="113" t="s">
        <v>180</v>
      </c>
      <c r="AC2" s="113"/>
      <c r="AD2" s="113"/>
      <c r="AE2" s="113"/>
    </row>
    <row r="3" spans="1:32" ht="15.75" hidden="1" x14ac:dyDescent="0.25">
      <c r="A3" s="88"/>
      <c r="B3" s="88"/>
      <c r="C3" s="88"/>
      <c r="D3" s="88"/>
      <c r="E3" s="88"/>
      <c r="F3" s="88"/>
      <c r="G3" s="88"/>
      <c r="H3" s="88">
        <v>2015</v>
      </c>
      <c r="I3" s="88">
        <v>2018</v>
      </c>
      <c r="J3" s="88">
        <v>2025</v>
      </c>
      <c r="K3" s="88">
        <v>2040</v>
      </c>
      <c r="L3" s="88"/>
      <c r="M3" s="88">
        <v>2015</v>
      </c>
      <c r="N3" s="88">
        <v>2018</v>
      </c>
      <c r="O3" s="88">
        <v>2025</v>
      </c>
      <c r="P3" s="88">
        <v>2040</v>
      </c>
      <c r="Q3" s="88"/>
      <c r="R3" s="88">
        <v>2015</v>
      </c>
      <c r="S3" s="88">
        <v>2018</v>
      </c>
      <c r="T3" s="88">
        <v>2025</v>
      </c>
      <c r="U3" s="88">
        <v>2040</v>
      </c>
      <c r="V3" s="88"/>
      <c r="W3" s="88">
        <v>2015</v>
      </c>
      <c r="X3" s="88">
        <v>2018</v>
      </c>
      <c r="Y3" s="88">
        <v>2025</v>
      </c>
      <c r="Z3" s="88">
        <v>2040</v>
      </c>
      <c r="AB3" s="88">
        <v>2015</v>
      </c>
      <c r="AC3" s="88">
        <v>2018</v>
      </c>
      <c r="AD3" s="88">
        <v>2025</v>
      </c>
      <c r="AE3" s="88">
        <v>2040</v>
      </c>
    </row>
    <row r="4" spans="1:32" ht="15.75" hidden="1" x14ac:dyDescent="0.25">
      <c r="A4" s="88"/>
      <c r="B4" s="88"/>
      <c r="C4" s="88"/>
      <c r="D4" s="88"/>
      <c r="E4" s="88"/>
      <c r="F4" s="88"/>
      <c r="G4" s="88" t="s">
        <v>136</v>
      </c>
      <c r="H4" s="88">
        <v>9800</v>
      </c>
      <c r="I4" s="88">
        <v>12200</v>
      </c>
      <c r="J4" s="88">
        <v>16500</v>
      </c>
      <c r="K4" s="88">
        <v>20300</v>
      </c>
      <c r="L4" s="88"/>
      <c r="M4" s="88">
        <v>50900</v>
      </c>
      <c r="N4" s="88">
        <v>56200</v>
      </c>
      <c r="O4" s="88">
        <v>63500</v>
      </c>
      <c r="P4" s="88">
        <v>66800</v>
      </c>
      <c r="Q4" s="88"/>
      <c r="R4" s="88">
        <v>41200</v>
      </c>
      <c r="S4" s="88">
        <v>44200</v>
      </c>
      <c r="T4" s="88">
        <v>46400</v>
      </c>
      <c r="U4" s="88">
        <v>49000</v>
      </c>
      <c r="V4" s="88"/>
      <c r="W4" s="88">
        <v>23100</v>
      </c>
      <c r="X4" s="88">
        <v>23800</v>
      </c>
      <c r="Y4" s="88">
        <v>25400</v>
      </c>
      <c r="Z4" s="88">
        <v>27500</v>
      </c>
      <c r="AB4" s="113">
        <f>+H4+M4+R4+W4</f>
        <v>125000</v>
      </c>
      <c r="AC4" s="113">
        <f t="shared" ref="AC4:AE4" si="0">+I4+N4+S4+X4</f>
        <v>136400</v>
      </c>
      <c r="AD4" s="113">
        <f t="shared" si="0"/>
        <v>151800</v>
      </c>
      <c r="AE4" s="113">
        <f t="shared" si="0"/>
        <v>163600</v>
      </c>
    </row>
    <row r="5" spans="1:32" ht="15.75" hidden="1" x14ac:dyDescent="0.25">
      <c r="A5" s="88"/>
      <c r="B5" s="88"/>
      <c r="C5" s="88"/>
      <c r="D5" s="88"/>
      <c r="E5" s="88"/>
      <c r="F5" s="88"/>
      <c r="G5" s="88" t="s">
        <v>137</v>
      </c>
      <c r="H5" s="88"/>
      <c r="I5" s="88">
        <f>+I4-H4</f>
        <v>2400</v>
      </c>
      <c r="J5" s="88">
        <f t="shared" ref="J5:K5" si="1">+J4-I4</f>
        <v>4300</v>
      </c>
      <c r="K5" s="88">
        <f t="shared" si="1"/>
        <v>3800</v>
      </c>
      <c r="L5" s="88"/>
      <c r="M5" s="88"/>
      <c r="N5" s="88">
        <f t="shared" ref="N5:P5" si="2">+N4-M4</f>
        <v>5300</v>
      </c>
      <c r="O5" s="88">
        <f t="shared" si="2"/>
        <v>7300</v>
      </c>
      <c r="P5" s="88">
        <f t="shared" si="2"/>
        <v>3300</v>
      </c>
      <c r="Q5" s="88"/>
      <c r="R5" s="88"/>
      <c r="S5" s="88">
        <f t="shared" ref="S5:U5" si="3">+S4-R4</f>
        <v>3000</v>
      </c>
      <c r="T5" s="88">
        <f t="shared" si="3"/>
        <v>2200</v>
      </c>
      <c r="U5" s="88">
        <f t="shared" si="3"/>
        <v>2600</v>
      </c>
      <c r="V5" s="88"/>
      <c r="W5" s="88"/>
      <c r="X5" s="88">
        <f t="shared" ref="X5:Z5" si="4">+X4-W4</f>
        <v>700</v>
      </c>
      <c r="Y5" s="88">
        <f t="shared" si="4"/>
        <v>1600</v>
      </c>
      <c r="Z5" s="88">
        <f t="shared" si="4"/>
        <v>2100</v>
      </c>
      <c r="AB5" s="113"/>
      <c r="AC5" s="113"/>
      <c r="AD5" s="113"/>
      <c r="AE5" s="113"/>
    </row>
    <row r="6" spans="1:32" ht="15.75" hidden="1" x14ac:dyDescent="0.25">
      <c r="A6" s="88"/>
      <c r="B6" s="88"/>
      <c r="C6" s="88"/>
      <c r="D6" s="88"/>
      <c r="E6" s="88"/>
      <c r="F6" s="88"/>
      <c r="G6" s="88" t="s">
        <v>138</v>
      </c>
      <c r="H6" s="88"/>
      <c r="I6" s="88">
        <f>+I4/H4</f>
        <v>1.2448979591836735</v>
      </c>
      <c r="J6" s="88">
        <f t="shared" ref="J6:K6" si="5">+J4/I4</f>
        <v>1.3524590163934427</v>
      </c>
      <c r="K6" s="88">
        <f t="shared" si="5"/>
        <v>1.2303030303030302</v>
      </c>
      <c r="L6" s="88"/>
      <c r="M6" s="88"/>
      <c r="N6" s="88">
        <f>+N4/M4</f>
        <v>1.1041257367387034</v>
      </c>
      <c r="O6" s="88">
        <f t="shared" ref="O6:P6" si="6">+O4/N4</f>
        <v>1.1298932384341638</v>
      </c>
      <c r="P6" s="88">
        <f t="shared" si="6"/>
        <v>1.0519685039370079</v>
      </c>
      <c r="Q6" s="88"/>
      <c r="R6" s="88"/>
      <c r="S6" s="88">
        <f>+S4/R4</f>
        <v>1.0728155339805825</v>
      </c>
      <c r="T6" s="88">
        <f t="shared" ref="T6:U6" si="7">+T4/S4</f>
        <v>1.0497737556561086</v>
      </c>
      <c r="U6" s="88">
        <f t="shared" si="7"/>
        <v>1.0560344827586208</v>
      </c>
      <c r="V6" s="88"/>
      <c r="W6" s="88"/>
      <c r="X6" s="88">
        <f>+X4/W4</f>
        <v>1.0303030303030303</v>
      </c>
      <c r="Y6" s="88">
        <f t="shared" ref="Y6:Z6" si="8">+Y4/X4</f>
        <v>1.0672268907563025</v>
      </c>
      <c r="Z6" s="88">
        <f t="shared" si="8"/>
        <v>1.0826771653543308</v>
      </c>
      <c r="AB6" s="113"/>
      <c r="AC6" s="113"/>
      <c r="AD6" s="113"/>
      <c r="AE6" s="113"/>
    </row>
    <row r="7" spans="1:32" ht="15.75" hidden="1" x14ac:dyDescent="0.25">
      <c r="A7" s="88"/>
      <c r="B7" s="88"/>
      <c r="C7" s="88"/>
      <c r="D7" s="88"/>
      <c r="E7" s="88"/>
      <c r="F7" s="88"/>
      <c r="G7" s="88" t="s">
        <v>139</v>
      </c>
      <c r="H7" s="88"/>
      <c r="I7" s="88">
        <f>+(I6-1)/3</f>
        <v>8.1632653061224511E-2</v>
      </c>
      <c r="J7" s="88">
        <f>+(J6-1)/7</f>
        <v>5.0351288056206096E-2</v>
      </c>
      <c r="K7" s="88">
        <f>+(K6-1)/15</f>
        <v>1.5353535353535348E-2</v>
      </c>
      <c r="L7" s="88"/>
      <c r="M7" s="88"/>
      <c r="N7" s="88">
        <f>+(N6-1)/3</f>
        <v>3.4708578912901134E-2</v>
      </c>
      <c r="O7" s="88">
        <f>+(O6-1)/7</f>
        <v>1.8556176919166254E-2</v>
      </c>
      <c r="P7" s="88">
        <f>+(P6-1)/15</f>
        <v>3.4645669291338611E-3</v>
      </c>
      <c r="Q7" s="88"/>
      <c r="R7" s="88"/>
      <c r="S7" s="88">
        <f>+(S6-1)/3</f>
        <v>2.4271844660194164E-2</v>
      </c>
      <c r="T7" s="88">
        <f>+(T6-1)/7</f>
        <v>7.110536522301235E-3</v>
      </c>
      <c r="U7" s="88">
        <f>+(U6-1)/15</f>
        <v>3.7356321839080516E-3</v>
      </c>
      <c r="V7" s="88"/>
      <c r="W7" s="88"/>
      <c r="X7" s="88">
        <f>+(X6-1)/3</f>
        <v>1.0101010101010091E-2</v>
      </c>
      <c r="Y7" s="88">
        <f>+(Y6-1)/7</f>
        <v>9.6038415366146435E-3</v>
      </c>
      <c r="Z7" s="88">
        <f>+(Z6-1)/15</f>
        <v>5.5118110236220524E-3</v>
      </c>
    </row>
    <row r="8" spans="1:32" ht="15.75" hidden="1" x14ac:dyDescent="0.25">
      <c r="A8" s="88"/>
      <c r="B8" s="88"/>
      <c r="C8" s="88"/>
      <c r="D8" s="88"/>
      <c r="E8" s="88"/>
      <c r="F8" s="88"/>
      <c r="G8" s="88" t="s">
        <v>140</v>
      </c>
      <c r="H8" s="88"/>
      <c r="I8" s="88">
        <f>+(I7+N7+S7+X7)/4</f>
        <v>3.7678521683832476E-2</v>
      </c>
      <c r="J8" s="88">
        <f>+(J7+O7+T7+Y7)/4</f>
        <v>2.1405460758572057E-2</v>
      </c>
      <c r="K8" s="88">
        <f>+(K7+P7+U7+Z7)/4</f>
        <v>7.016386372549829E-3</v>
      </c>
      <c r="L8" s="88"/>
      <c r="M8" s="88"/>
      <c r="N8" s="88"/>
      <c r="O8" s="88"/>
      <c r="P8" s="88"/>
      <c r="Q8" s="88"/>
      <c r="R8" s="88"/>
      <c r="S8" s="88"/>
      <c r="T8" s="88"/>
      <c r="U8" s="88"/>
      <c r="V8" s="88"/>
      <c r="W8" s="88"/>
      <c r="X8" s="88"/>
      <c r="Y8" s="88"/>
      <c r="Z8" s="88"/>
    </row>
    <row r="9" spans="1:32" ht="15.75" hidden="1" x14ac:dyDescent="0.25">
      <c r="A9" s="88"/>
      <c r="B9" s="88"/>
      <c r="C9" s="88"/>
      <c r="D9" s="88"/>
      <c r="E9" s="88"/>
      <c r="F9" s="88"/>
      <c r="G9" s="88"/>
      <c r="H9" s="88"/>
      <c r="I9" s="88"/>
      <c r="J9" s="88"/>
      <c r="K9" s="88"/>
      <c r="L9" s="88"/>
      <c r="M9" s="88"/>
      <c r="N9" s="88"/>
      <c r="O9" s="88"/>
      <c r="P9" s="88"/>
      <c r="Q9" s="88"/>
      <c r="R9" s="88"/>
      <c r="S9" s="88"/>
      <c r="T9" s="88"/>
      <c r="U9" s="88"/>
      <c r="V9" s="88"/>
      <c r="W9" s="88"/>
      <c r="X9" s="88"/>
      <c r="Y9" s="88"/>
      <c r="Z9" s="88"/>
    </row>
    <row r="10" spans="1:32" ht="15.75" hidden="1" x14ac:dyDescent="0.25">
      <c r="A10" s="88"/>
      <c r="B10" s="88"/>
      <c r="C10" s="88"/>
      <c r="D10" s="88"/>
      <c r="E10" s="88"/>
      <c r="F10" s="88"/>
      <c r="G10" s="88" t="s">
        <v>176</v>
      </c>
      <c r="H10" s="88"/>
      <c r="I10" s="88"/>
      <c r="J10" s="88"/>
      <c r="K10" s="88"/>
      <c r="L10" s="88"/>
      <c r="M10" s="88"/>
      <c r="N10" s="88"/>
      <c r="O10" s="88"/>
      <c r="P10" s="88"/>
      <c r="Q10" s="88"/>
      <c r="R10" s="88"/>
      <c r="S10" s="88"/>
      <c r="T10" s="88"/>
      <c r="U10" s="88"/>
      <c r="V10" s="88"/>
      <c r="W10" s="88"/>
      <c r="X10" s="88"/>
      <c r="Y10" s="88"/>
      <c r="Z10" s="88"/>
    </row>
    <row r="11" spans="1:32" ht="15.75" hidden="1" x14ac:dyDescent="0.25">
      <c r="A11" s="88"/>
      <c r="B11" s="88"/>
      <c r="C11" s="88"/>
      <c r="D11" s="88"/>
      <c r="E11" s="88"/>
      <c r="F11" s="88"/>
      <c r="G11" s="88"/>
      <c r="H11" s="88">
        <v>2015</v>
      </c>
      <c r="I11" s="88">
        <v>2018</v>
      </c>
      <c r="J11" s="88">
        <v>2025</v>
      </c>
      <c r="K11" s="88">
        <v>2040</v>
      </c>
      <c r="L11" s="88"/>
      <c r="M11" s="88"/>
      <c r="N11" s="88"/>
      <c r="O11" s="88"/>
      <c r="P11" s="88"/>
      <c r="Q11" s="88"/>
      <c r="R11" s="88"/>
      <c r="S11" s="88"/>
      <c r="T11" s="88"/>
      <c r="U11" s="88"/>
      <c r="V11" s="88"/>
      <c r="W11" s="88"/>
      <c r="X11" s="88"/>
      <c r="Y11" s="88"/>
      <c r="Z11" s="88"/>
    </row>
    <row r="12" spans="1:32" ht="15.75" hidden="1" x14ac:dyDescent="0.25">
      <c r="A12" s="88"/>
      <c r="B12" s="88"/>
      <c r="C12" s="88"/>
      <c r="D12" s="88"/>
      <c r="E12" s="88"/>
      <c r="F12" s="88"/>
      <c r="G12" s="88"/>
      <c r="H12" s="88"/>
      <c r="I12" s="88">
        <f>+I4+N4+S46</f>
        <v>68400</v>
      </c>
      <c r="J12" s="88">
        <f t="shared" ref="J12:K12" si="9">+J4+O4+T46</f>
        <v>80000</v>
      </c>
      <c r="K12" s="88">
        <f t="shared" si="9"/>
        <v>87100</v>
      </c>
      <c r="L12" s="88"/>
      <c r="M12" s="88"/>
      <c r="N12" s="88"/>
      <c r="O12" s="88"/>
      <c r="P12" s="88"/>
      <c r="Q12" s="88"/>
      <c r="R12" s="88"/>
      <c r="S12" s="88"/>
      <c r="T12" s="88"/>
      <c r="U12" s="88"/>
      <c r="V12" s="88"/>
      <c r="W12" s="88"/>
      <c r="X12" s="88"/>
      <c r="Y12" s="88"/>
      <c r="Z12" s="88"/>
    </row>
    <row r="13" spans="1:32" ht="15.75" hidden="1" x14ac:dyDescent="0.25">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spans="1:32" ht="16.5" hidden="1" thickBot="1" x14ac:dyDescent="0.3">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B14" s="126"/>
      <c r="AC14" s="126"/>
      <c r="AD14" s="126"/>
      <c r="AE14" s="126"/>
      <c r="AF14" s="126"/>
    </row>
    <row r="15" spans="1:32" ht="16.5" thickTop="1" x14ac:dyDescent="0.25">
      <c r="A15" s="88"/>
      <c r="B15" s="88"/>
      <c r="C15" s="88"/>
      <c r="D15" s="88"/>
      <c r="E15" s="88"/>
      <c r="F15" s="88"/>
      <c r="G15" s="89"/>
      <c r="H15" s="90"/>
      <c r="I15" s="91" t="s">
        <v>141</v>
      </c>
      <c r="J15" s="91" t="s">
        <v>142</v>
      </c>
      <c r="K15" s="91" t="s">
        <v>143</v>
      </c>
      <c r="L15" s="92" t="s">
        <v>144</v>
      </c>
      <c r="M15" s="91" t="s">
        <v>145</v>
      </c>
      <c r="N15" s="91" t="s">
        <v>146</v>
      </c>
      <c r="O15" s="91" t="s">
        <v>147</v>
      </c>
      <c r="P15" s="92" t="s">
        <v>144</v>
      </c>
      <c r="Q15" s="91" t="s">
        <v>148</v>
      </c>
      <c r="R15" s="91" t="s">
        <v>149</v>
      </c>
      <c r="S15" s="91" t="s">
        <v>150</v>
      </c>
      <c r="T15" s="92" t="s">
        <v>144</v>
      </c>
      <c r="U15" s="91" t="s">
        <v>151</v>
      </c>
      <c r="V15" s="91" t="s">
        <v>152</v>
      </c>
      <c r="W15" s="91" t="s">
        <v>153</v>
      </c>
      <c r="X15" s="93" t="s">
        <v>144</v>
      </c>
      <c r="Y15" s="88"/>
      <c r="Z15" s="88"/>
      <c r="AB15" s="126"/>
      <c r="AC15" s="126"/>
      <c r="AD15" s="126"/>
      <c r="AE15" s="126"/>
      <c r="AF15" s="126"/>
    </row>
    <row r="16" spans="1:32" ht="15.75" x14ac:dyDescent="0.25">
      <c r="A16" s="88"/>
      <c r="B16" s="88"/>
      <c r="C16" s="88"/>
      <c r="D16" s="88"/>
      <c r="E16" s="88"/>
      <c r="F16" s="88"/>
      <c r="G16" s="94" t="s">
        <v>154</v>
      </c>
      <c r="H16" s="95" t="s">
        <v>155</v>
      </c>
      <c r="I16" s="96">
        <v>305</v>
      </c>
      <c r="J16" s="96">
        <v>1032</v>
      </c>
      <c r="K16" s="96">
        <v>35</v>
      </c>
      <c r="L16" s="97">
        <f>+I16+J16+K16</f>
        <v>1372</v>
      </c>
      <c r="M16" s="96" t="s">
        <v>156</v>
      </c>
      <c r="N16" s="96">
        <v>138</v>
      </c>
      <c r="O16" s="96">
        <v>81</v>
      </c>
      <c r="P16" s="97">
        <f>+N16+O16</f>
        <v>219</v>
      </c>
      <c r="Q16" s="96">
        <v>200</v>
      </c>
      <c r="R16" s="96">
        <v>762</v>
      </c>
      <c r="S16" s="96" t="s">
        <v>156</v>
      </c>
      <c r="T16" s="97">
        <f>+Q16+R16</f>
        <v>962</v>
      </c>
      <c r="U16" s="96" t="s">
        <v>156</v>
      </c>
      <c r="V16" s="96" t="s">
        <v>156</v>
      </c>
      <c r="W16" s="96" t="s">
        <v>156</v>
      </c>
      <c r="X16" s="98" t="s">
        <v>156</v>
      </c>
      <c r="Y16" s="88"/>
      <c r="Z16" s="88"/>
      <c r="AB16" s="127"/>
      <c r="AC16" s="127"/>
      <c r="AD16" s="128"/>
      <c r="AE16" s="129"/>
      <c r="AF16" s="128"/>
    </row>
    <row r="17" spans="1:32" ht="15.75" x14ac:dyDescent="0.25">
      <c r="A17" s="88"/>
      <c r="B17" s="88"/>
      <c r="C17" s="88"/>
      <c r="D17" s="88"/>
      <c r="E17" s="88"/>
      <c r="F17" s="88"/>
      <c r="G17" s="94"/>
      <c r="H17" s="95" t="s">
        <v>157</v>
      </c>
      <c r="I17" s="96" t="s">
        <v>156</v>
      </c>
      <c r="J17" s="96" t="s">
        <v>156</v>
      </c>
      <c r="K17" s="96" t="s">
        <v>156</v>
      </c>
      <c r="L17" s="97" t="s">
        <v>156</v>
      </c>
      <c r="M17" s="96">
        <v>60</v>
      </c>
      <c r="N17" s="96">
        <v>381</v>
      </c>
      <c r="O17" s="96" t="s">
        <v>156</v>
      </c>
      <c r="P17" s="97">
        <f>+M17+N17</f>
        <v>441</v>
      </c>
      <c r="Q17" s="96" t="s">
        <v>156</v>
      </c>
      <c r="R17" s="96">
        <v>646</v>
      </c>
      <c r="S17" s="96">
        <v>499</v>
      </c>
      <c r="T17" s="97">
        <f>+R17+S17</f>
        <v>1145</v>
      </c>
      <c r="U17" s="96">
        <v>316</v>
      </c>
      <c r="V17" s="96">
        <v>1104</v>
      </c>
      <c r="W17" s="96">
        <v>67</v>
      </c>
      <c r="X17" s="98">
        <f>+U17+V17+W17</f>
        <v>1487</v>
      </c>
      <c r="Y17" s="88"/>
      <c r="Z17" s="88"/>
      <c r="AB17" s="127"/>
      <c r="AC17" s="127"/>
      <c r="AD17" s="128"/>
      <c r="AE17" s="128"/>
      <c r="AF17" s="128"/>
    </row>
    <row r="18" spans="1:32" ht="15.75" x14ac:dyDescent="0.25">
      <c r="A18" s="88">
        <v>31700</v>
      </c>
      <c r="B18" s="88">
        <v>36800</v>
      </c>
      <c r="C18" s="88"/>
      <c r="D18" s="88"/>
      <c r="E18" s="88"/>
      <c r="F18" s="88"/>
      <c r="G18" s="94" t="s">
        <v>158</v>
      </c>
      <c r="H18" s="95" t="s">
        <v>155</v>
      </c>
      <c r="I18" s="96">
        <v>802</v>
      </c>
      <c r="J18" s="96">
        <v>1068</v>
      </c>
      <c r="K18" s="96">
        <v>19</v>
      </c>
      <c r="L18" s="97">
        <f>+I18+J18+K18</f>
        <v>1889</v>
      </c>
      <c r="M18" s="96" t="s">
        <v>156</v>
      </c>
      <c r="N18" s="96">
        <v>465</v>
      </c>
      <c r="O18" s="96">
        <v>183</v>
      </c>
      <c r="P18" s="97">
        <f>+N18+O18</f>
        <v>648</v>
      </c>
      <c r="Q18" s="96">
        <v>160</v>
      </c>
      <c r="R18" s="96">
        <v>273</v>
      </c>
      <c r="S18" s="96" t="s">
        <v>156</v>
      </c>
      <c r="T18" s="97">
        <f>+Q18+R18</f>
        <v>433</v>
      </c>
      <c r="U18" s="96" t="s">
        <v>156</v>
      </c>
      <c r="V18" s="96" t="s">
        <v>156</v>
      </c>
      <c r="W18" s="96" t="s">
        <v>156</v>
      </c>
      <c r="X18" s="98" t="s">
        <v>156</v>
      </c>
      <c r="Y18" s="88"/>
      <c r="Z18" s="88"/>
      <c r="AB18" s="127"/>
      <c r="AC18" s="127"/>
      <c r="AD18" s="130"/>
      <c r="AE18" s="131"/>
      <c r="AF18" s="128"/>
    </row>
    <row r="19" spans="1:32" ht="15.75" x14ac:dyDescent="0.25">
      <c r="A19" s="88"/>
      <c r="B19" s="88"/>
      <c r="C19" s="88"/>
      <c r="D19" s="88"/>
      <c r="E19" s="88"/>
      <c r="F19" s="88"/>
      <c r="G19" s="94"/>
      <c r="H19" s="95" t="s">
        <v>157</v>
      </c>
      <c r="I19" s="96" t="s">
        <v>156</v>
      </c>
      <c r="J19" s="96" t="s">
        <v>156</v>
      </c>
      <c r="K19" s="96" t="s">
        <v>156</v>
      </c>
      <c r="L19" s="97" t="s">
        <v>156</v>
      </c>
      <c r="M19" s="96">
        <v>64</v>
      </c>
      <c r="N19" s="96">
        <v>1230</v>
      </c>
      <c r="O19" s="96" t="s">
        <v>156</v>
      </c>
      <c r="P19" s="97">
        <f>+M19+N19</f>
        <v>1294</v>
      </c>
      <c r="Q19" s="96" t="s">
        <v>156</v>
      </c>
      <c r="R19" s="96">
        <v>357</v>
      </c>
      <c r="S19" s="96">
        <v>454</v>
      </c>
      <c r="T19" s="97">
        <f>+R19+S19</f>
        <v>811</v>
      </c>
      <c r="U19" s="96">
        <v>71</v>
      </c>
      <c r="V19" s="96">
        <v>1269</v>
      </c>
      <c r="W19" s="96">
        <v>223</v>
      </c>
      <c r="X19" s="98">
        <f>+U19+V19+W19</f>
        <v>1563</v>
      </c>
      <c r="Y19" s="88"/>
      <c r="Z19" s="88"/>
      <c r="AB19" s="127"/>
      <c r="AC19" s="127"/>
      <c r="AD19" s="128"/>
      <c r="AE19" s="128"/>
      <c r="AF19" s="128"/>
    </row>
    <row r="20" spans="1:32" ht="15.75" x14ac:dyDescent="0.25">
      <c r="A20" s="88"/>
      <c r="B20" s="88"/>
      <c r="C20" s="88"/>
      <c r="D20" s="88"/>
      <c r="E20" s="88"/>
      <c r="F20" s="88"/>
      <c r="G20" s="94"/>
      <c r="H20" s="95"/>
      <c r="I20" s="96"/>
      <c r="J20" s="96"/>
      <c r="K20" s="96"/>
      <c r="L20" s="97"/>
      <c r="M20" s="96"/>
      <c r="N20" s="96"/>
      <c r="O20" s="96"/>
      <c r="P20" s="97"/>
      <c r="Q20" s="96"/>
      <c r="R20" s="96"/>
      <c r="S20" s="96"/>
      <c r="T20" s="97"/>
      <c r="U20" s="96"/>
      <c r="V20" s="96"/>
      <c r="W20" s="96"/>
      <c r="X20" s="98"/>
      <c r="Y20" s="88"/>
      <c r="Z20" s="88"/>
      <c r="AB20" s="132"/>
      <c r="AC20" s="127"/>
      <c r="AD20" s="128"/>
      <c r="AE20" s="129"/>
      <c r="AF20" s="128"/>
    </row>
    <row r="21" spans="1:32" ht="15.75" x14ac:dyDescent="0.25">
      <c r="A21" s="88"/>
      <c r="B21" s="88"/>
      <c r="C21" s="88" t="s">
        <v>159</v>
      </c>
      <c r="D21" s="88">
        <v>1.077</v>
      </c>
      <c r="E21" s="88"/>
      <c r="F21" s="88"/>
      <c r="G21" s="94" t="s">
        <v>160</v>
      </c>
      <c r="H21" s="95" t="s">
        <v>155</v>
      </c>
      <c r="I21" s="99">
        <f>+I$16*D21</f>
        <v>328.48500000000001</v>
      </c>
      <c r="J21" s="99">
        <f>+J$16*D21</f>
        <v>1111.4639999999999</v>
      </c>
      <c r="K21" s="99">
        <f>+K$16*D21</f>
        <v>37.695</v>
      </c>
      <c r="L21" s="100">
        <f>+I21+J21+K21</f>
        <v>1477.644</v>
      </c>
      <c r="M21" s="99" t="s">
        <v>156</v>
      </c>
      <c r="N21" s="99">
        <f>+N$16*D21</f>
        <v>148.626</v>
      </c>
      <c r="O21" s="99">
        <f>+O$16*D21</f>
        <v>87.236999999999995</v>
      </c>
      <c r="P21" s="100">
        <f>+N21+O21</f>
        <v>235.863</v>
      </c>
      <c r="Q21" s="99">
        <f>+Q$16*D21</f>
        <v>215.39999999999998</v>
      </c>
      <c r="R21" s="99">
        <f>+R$16*D21</f>
        <v>820.67399999999998</v>
      </c>
      <c r="S21" s="99" t="s">
        <v>156</v>
      </c>
      <c r="T21" s="100">
        <f>+Q21+R21</f>
        <v>1036.0740000000001</v>
      </c>
      <c r="U21" s="99" t="s">
        <v>156</v>
      </c>
      <c r="V21" s="99" t="s">
        <v>156</v>
      </c>
      <c r="W21" s="99" t="s">
        <v>156</v>
      </c>
      <c r="X21" s="101" t="s">
        <v>156</v>
      </c>
      <c r="Y21" s="88"/>
      <c r="Z21" s="88"/>
      <c r="AB21" s="127"/>
      <c r="AC21" s="127"/>
      <c r="AD21" s="128"/>
      <c r="AE21" s="128"/>
      <c r="AF21" s="128"/>
    </row>
    <row r="22" spans="1:32" ht="15.75" x14ac:dyDescent="0.25">
      <c r="A22" s="88"/>
      <c r="B22" s="88"/>
      <c r="C22" s="88" t="s">
        <v>161</v>
      </c>
      <c r="D22" s="88"/>
      <c r="E22" s="88"/>
      <c r="F22" s="88"/>
      <c r="G22" s="94"/>
      <c r="H22" s="95" t="s">
        <v>157</v>
      </c>
      <c r="I22" s="99" t="s">
        <v>156</v>
      </c>
      <c r="J22" s="99" t="s">
        <v>156</v>
      </c>
      <c r="K22" s="99" t="s">
        <v>156</v>
      </c>
      <c r="L22" s="100" t="s">
        <v>156</v>
      </c>
      <c r="M22" s="99">
        <f>+M$17*D21</f>
        <v>64.62</v>
      </c>
      <c r="N22" s="99">
        <f>+N$17*D21</f>
        <v>410.33699999999999</v>
      </c>
      <c r="O22" s="99" t="s">
        <v>156</v>
      </c>
      <c r="P22" s="100">
        <f>+M22+N22</f>
        <v>474.95699999999999</v>
      </c>
      <c r="Q22" s="99" t="s">
        <v>156</v>
      </c>
      <c r="R22" s="99">
        <f>+R$17*D21</f>
        <v>695.74199999999996</v>
      </c>
      <c r="S22" s="99">
        <f>+S$17*D21</f>
        <v>537.423</v>
      </c>
      <c r="T22" s="100">
        <f>+R22+S22</f>
        <v>1233.165</v>
      </c>
      <c r="U22" s="99">
        <f>+U$17*D21</f>
        <v>340.33199999999999</v>
      </c>
      <c r="V22" s="99">
        <f>+V$17*D21</f>
        <v>1189.008</v>
      </c>
      <c r="W22" s="99">
        <f>+W$17*D21</f>
        <v>72.158999999999992</v>
      </c>
      <c r="X22" s="101">
        <f>+U22+V22+W22</f>
        <v>1601.4990000000003</v>
      </c>
      <c r="Y22" s="88"/>
      <c r="Z22" s="88"/>
      <c r="AB22" s="127"/>
      <c r="AC22" s="130"/>
      <c r="AD22" s="128"/>
      <c r="AE22" s="131"/>
      <c r="AF22" s="128"/>
    </row>
    <row r="23" spans="1:32" ht="15.75" x14ac:dyDescent="0.25">
      <c r="A23" s="88"/>
      <c r="B23" s="88"/>
      <c r="C23" s="88"/>
      <c r="D23" s="88"/>
      <c r="E23" s="88"/>
      <c r="F23" s="88"/>
      <c r="G23" s="94" t="s">
        <v>162</v>
      </c>
      <c r="H23" s="95" t="s">
        <v>155</v>
      </c>
      <c r="I23" s="99">
        <f>+I$18*D21</f>
        <v>863.75400000000002</v>
      </c>
      <c r="J23" s="99">
        <f>+J$18*D21</f>
        <v>1150.2359999999999</v>
      </c>
      <c r="K23" s="99">
        <f>+K$18*D21</f>
        <v>20.463000000000001</v>
      </c>
      <c r="L23" s="100">
        <f>+I23+J23+K23</f>
        <v>2034.4529999999997</v>
      </c>
      <c r="M23" s="99" t="s">
        <v>156</v>
      </c>
      <c r="N23" s="99">
        <f>+N$18*D21</f>
        <v>500.80500000000001</v>
      </c>
      <c r="O23" s="99">
        <f>+O$18*D21</f>
        <v>197.09099999999998</v>
      </c>
      <c r="P23" s="100">
        <f>+N23+O23</f>
        <v>697.89599999999996</v>
      </c>
      <c r="Q23" s="99">
        <f>+Q$18*D21</f>
        <v>172.32</v>
      </c>
      <c r="R23" s="99">
        <f>+R$18*D21</f>
        <v>294.02100000000002</v>
      </c>
      <c r="S23" s="99" t="s">
        <v>156</v>
      </c>
      <c r="T23" s="100">
        <f>+Q23+R23</f>
        <v>466.34100000000001</v>
      </c>
      <c r="U23" s="99" t="s">
        <v>156</v>
      </c>
      <c r="V23" s="99" t="s">
        <v>156</v>
      </c>
      <c r="W23" s="99" t="s">
        <v>156</v>
      </c>
      <c r="X23" s="101" t="s">
        <v>156</v>
      </c>
      <c r="Y23" s="88"/>
      <c r="Z23" s="88"/>
      <c r="AB23" s="127"/>
      <c r="AC23" s="132"/>
      <c r="AD23" s="128"/>
      <c r="AE23" s="128"/>
      <c r="AF23" s="128"/>
    </row>
    <row r="24" spans="1:32" ht="15.75" x14ac:dyDescent="0.25">
      <c r="A24" s="88"/>
      <c r="B24" s="88"/>
      <c r="C24" s="88"/>
      <c r="D24" s="88"/>
      <c r="E24" s="88"/>
      <c r="F24" s="88"/>
      <c r="G24" s="94"/>
      <c r="H24" s="95" t="s">
        <v>157</v>
      </c>
      <c r="I24" s="99" t="s">
        <v>156</v>
      </c>
      <c r="J24" s="99" t="s">
        <v>156</v>
      </c>
      <c r="K24" s="99" t="s">
        <v>156</v>
      </c>
      <c r="L24" s="100" t="s">
        <v>156</v>
      </c>
      <c r="M24" s="99">
        <f>+M$19*D21</f>
        <v>68.927999999999997</v>
      </c>
      <c r="N24" s="99">
        <f>+N$19*D21</f>
        <v>1324.71</v>
      </c>
      <c r="O24" s="99" t="s">
        <v>156</v>
      </c>
      <c r="P24" s="100">
        <f>+M24+N24</f>
        <v>1393.6379999999999</v>
      </c>
      <c r="Q24" s="99" t="s">
        <v>156</v>
      </c>
      <c r="R24" s="99">
        <f>+R$19*D21</f>
        <v>384.48899999999998</v>
      </c>
      <c r="S24" s="99">
        <f>+S$19*D21</f>
        <v>488.95799999999997</v>
      </c>
      <c r="T24" s="100">
        <f>+R24+S24</f>
        <v>873.44699999999989</v>
      </c>
      <c r="U24" s="99">
        <f>+U$19*D21</f>
        <v>76.466999999999999</v>
      </c>
      <c r="V24" s="99">
        <f>+V$19*D21</f>
        <v>1366.713</v>
      </c>
      <c r="W24" s="99">
        <f>+W$19*D21</f>
        <v>240.17099999999999</v>
      </c>
      <c r="X24" s="101">
        <f>+U24+V24+W24</f>
        <v>1683.3510000000001</v>
      </c>
      <c r="Y24" s="88"/>
      <c r="Z24" s="88"/>
      <c r="AB24" s="127"/>
      <c r="AC24" s="130"/>
      <c r="AD24" s="128"/>
      <c r="AE24" s="131"/>
      <c r="AF24" s="128"/>
    </row>
    <row r="25" spans="1:32" ht="15.75" x14ac:dyDescent="0.25">
      <c r="A25" s="88"/>
      <c r="B25" s="88"/>
      <c r="C25" s="88"/>
      <c r="D25" s="88"/>
      <c r="E25" s="88"/>
      <c r="F25" s="88"/>
      <c r="G25" s="94"/>
      <c r="H25" s="95"/>
      <c r="I25" s="96"/>
      <c r="J25" s="96"/>
      <c r="K25" s="96"/>
      <c r="L25" s="97"/>
      <c r="M25" s="96"/>
      <c r="N25" s="96"/>
      <c r="O25" s="96"/>
      <c r="P25" s="97"/>
      <c r="Q25" s="96"/>
      <c r="R25" s="96"/>
      <c r="S25" s="96"/>
      <c r="T25" s="97"/>
      <c r="U25" s="96"/>
      <c r="V25" s="96"/>
      <c r="W25" s="96"/>
      <c r="X25" s="98"/>
      <c r="Y25" s="88"/>
      <c r="Z25" s="88"/>
      <c r="AB25" s="127"/>
      <c r="AC25" s="132"/>
      <c r="AD25" s="128"/>
      <c r="AE25" s="128"/>
      <c r="AF25" s="128"/>
    </row>
    <row r="26" spans="1:32" ht="15.75" x14ac:dyDescent="0.25">
      <c r="A26" s="88"/>
      <c r="B26" s="88"/>
      <c r="C26" s="88" t="s">
        <v>159</v>
      </c>
      <c r="D26" s="88">
        <v>1.1185</v>
      </c>
      <c r="E26" s="88"/>
      <c r="F26" s="88"/>
      <c r="G26" s="94" t="s">
        <v>163</v>
      </c>
      <c r="H26" s="95" t="s">
        <v>155</v>
      </c>
      <c r="I26" s="99">
        <f>+I21*$D$26</f>
        <v>367.41047250000003</v>
      </c>
      <c r="J26" s="99">
        <f t="shared" ref="J26:K26" si="10">+J21*$D$26</f>
        <v>1243.1724839999999</v>
      </c>
      <c r="K26" s="99">
        <f t="shared" si="10"/>
        <v>42.161857500000004</v>
      </c>
      <c r="L26" s="100">
        <f>+I26+J26+K26</f>
        <v>1652.7448139999999</v>
      </c>
      <c r="M26" s="99" t="s">
        <v>156</v>
      </c>
      <c r="N26" s="99">
        <f t="shared" ref="N26:O26" si="11">+N21*$D$26</f>
        <v>166.23818100000003</v>
      </c>
      <c r="O26" s="99">
        <f t="shared" si="11"/>
        <v>97.5745845</v>
      </c>
      <c r="P26" s="100">
        <f>+N26+O26</f>
        <v>263.81276550000001</v>
      </c>
      <c r="Q26" s="99">
        <f t="shared" ref="Q26:S27" si="12">+Q21*$D$26</f>
        <v>240.92489999999998</v>
      </c>
      <c r="R26" s="99">
        <f t="shared" si="12"/>
        <v>917.92386899999997</v>
      </c>
      <c r="S26" s="99" t="s">
        <v>156</v>
      </c>
      <c r="T26" s="100">
        <f>+Q26+R26</f>
        <v>1158.8487689999999</v>
      </c>
      <c r="U26" s="99" t="s">
        <v>156</v>
      </c>
      <c r="V26" s="99" t="s">
        <v>156</v>
      </c>
      <c r="W26" s="99" t="s">
        <v>156</v>
      </c>
      <c r="X26" s="101" t="s">
        <v>156</v>
      </c>
      <c r="Y26" s="88"/>
      <c r="Z26" s="88"/>
      <c r="AB26" s="127"/>
      <c r="AC26" s="130"/>
      <c r="AD26" s="128"/>
      <c r="AE26" s="131"/>
      <c r="AF26" s="128"/>
    </row>
    <row r="27" spans="1:32" ht="15.75" x14ac:dyDescent="0.25">
      <c r="A27" s="88"/>
      <c r="B27" s="88"/>
      <c r="C27" s="88" t="s">
        <v>164</v>
      </c>
      <c r="D27" s="88"/>
      <c r="E27" s="88"/>
      <c r="F27" s="88"/>
      <c r="G27" s="94"/>
      <c r="H27" s="95" t="s">
        <v>157</v>
      </c>
      <c r="I27" s="99" t="s">
        <v>156</v>
      </c>
      <c r="J27" s="99" t="s">
        <v>156</v>
      </c>
      <c r="K27" s="99" t="s">
        <v>156</v>
      </c>
      <c r="L27" s="100" t="s">
        <v>156</v>
      </c>
      <c r="M27" s="99">
        <f t="shared" ref="M27:O28" si="13">+M22*$D$26</f>
        <v>72.277470000000008</v>
      </c>
      <c r="N27" s="99">
        <f t="shared" si="13"/>
        <v>458.96193449999998</v>
      </c>
      <c r="O27" s="99" t="s">
        <v>156</v>
      </c>
      <c r="P27" s="100">
        <f>+M27+N27</f>
        <v>531.23940449999998</v>
      </c>
      <c r="Q27" s="99" t="s">
        <v>156</v>
      </c>
      <c r="R27" s="99">
        <f t="shared" si="12"/>
        <v>778.18742699999996</v>
      </c>
      <c r="S27" s="99">
        <f t="shared" si="12"/>
        <v>601.10762550000004</v>
      </c>
      <c r="T27" s="100">
        <f>+R27+S27</f>
        <v>1379.2950525000001</v>
      </c>
      <c r="U27" s="99">
        <f t="shared" ref="U27:W27" si="14">+U22*$D$26</f>
        <v>380.66134199999999</v>
      </c>
      <c r="V27" s="99">
        <f t="shared" si="14"/>
        <v>1329.9054480000002</v>
      </c>
      <c r="W27" s="99">
        <f t="shared" si="14"/>
        <v>80.709841499999996</v>
      </c>
      <c r="X27" s="101">
        <f>+U27+V27+W27</f>
        <v>1791.2766315000003</v>
      </c>
      <c r="Y27" s="88"/>
      <c r="Z27" s="88"/>
      <c r="AB27" s="127"/>
      <c r="AC27" s="132"/>
      <c r="AD27" s="128"/>
      <c r="AE27" s="128"/>
      <c r="AF27" s="128"/>
    </row>
    <row r="28" spans="1:32" ht="15.75" x14ac:dyDescent="0.25">
      <c r="A28" s="88"/>
      <c r="B28" s="88"/>
      <c r="C28" s="88"/>
      <c r="D28" s="88"/>
      <c r="E28" s="88"/>
      <c r="F28" s="88"/>
      <c r="G28" s="94" t="s">
        <v>165</v>
      </c>
      <c r="H28" s="95" t="s">
        <v>155</v>
      </c>
      <c r="I28" s="99">
        <f t="shared" ref="I28:K28" si="15">+I23*$D$26</f>
        <v>966.10884900000008</v>
      </c>
      <c r="J28" s="99">
        <f t="shared" si="15"/>
        <v>1286.5389659999998</v>
      </c>
      <c r="K28" s="99">
        <f t="shared" si="15"/>
        <v>22.887865500000004</v>
      </c>
      <c r="L28" s="100">
        <f>+I28+J28+K28</f>
        <v>2275.5356804999997</v>
      </c>
      <c r="M28" s="99" t="s">
        <v>156</v>
      </c>
      <c r="N28" s="99">
        <f t="shared" si="13"/>
        <v>560.15039250000007</v>
      </c>
      <c r="O28" s="99">
        <f t="shared" si="13"/>
        <v>220.44628349999999</v>
      </c>
      <c r="P28" s="100">
        <f>+N28+O28</f>
        <v>780.59667600000012</v>
      </c>
      <c r="Q28" s="99">
        <f t="shared" ref="Q28:S29" si="16">+Q23*$D$26</f>
        <v>192.73992000000001</v>
      </c>
      <c r="R28" s="99">
        <f t="shared" si="16"/>
        <v>328.86248850000004</v>
      </c>
      <c r="S28" s="99" t="s">
        <v>156</v>
      </c>
      <c r="T28" s="100">
        <f>+Q28+R28</f>
        <v>521.60240850000002</v>
      </c>
      <c r="U28" s="99" t="s">
        <v>156</v>
      </c>
      <c r="V28" s="99" t="s">
        <v>156</v>
      </c>
      <c r="W28" s="99" t="s">
        <v>156</v>
      </c>
      <c r="X28" s="101" t="s">
        <v>156</v>
      </c>
      <c r="Y28" s="88"/>
      <c r="Z28" s="88"/>
      <c r="AB28" s="127"/>
      <c r="AC28" s="130"/>
      <c r="AD28" s="128"/>
      <c r="AE28" s="131"/>
      <c r="AF28" s="128"/>
    </row>
    <row r="29" spans="1:32" ht="15.75" x14ac:dyDescent="0.25">
      <c r="A29" s="88"/>
      <c r="B29" s="88"/>
      <c r="C29" s="88"/>
      <c r="D29" s="88"/>
      <c r="E29" s="88"/>
      <c r="F29" s="88"/>
      <c r="G29" s="94"/>
      <c r="H29" s="95" t="s">
        <v>157</v>
      </c>
      <c r="I29" s="99" t="s">
        <v>156</v>
      </c>
      <c r="J29" s="99" t="s">
        <v>156</v>
      </c>
      <c r="K29" s="99" t="s">
        <v>156</v>
      </c>
      <c r="L29" s="100" t="s">
        <v>156</v>
      </c>
      <c r="M29" s="99">
        <f t="shared" ref="M29:N29" si="17">+M24*$D$26</f>
        <v>77.095967999999999</v>
      </c>
      <c r="N29" s="99">
        <f t="shared" si="17"/>
        <v>1481.6881350000001</v>
      </c>
      <c r="O29" s="99" t="s">
        <v>156</v>
      </c>
      <c r="P29" s="100">
        <f>+M29+N29</f>
        <v>1558.7841030000002</v>
      </c>
      <c r="Q29" s="99" t="s">
        <v>156</v>
      </c>
      <c r="R29" s="99">
        <f t="shared" si="16"/>
        <v>430.05094650000001</v>
      </c>
      <c r="S29" s="99">
        <f t="shared" si="16"/>
        <v>546.89952300000004</v>
      </c>
      <c r="T29" s="100">
        <f>+R29+S29</f>
        <v>976.95046950000005</v>
      </c>
      <c r="U29" s="99">
        <f t="shared" ref="U29:W29" si="18">+U24*$D$26</f>
        <v>85.528339500000001</v>
      </c>
      <c r="V29" s="99">
        <f t="shared" si="18"/>
        <v>1528.6684905</v>
      </c>
      <c r="W29" s="99">
        <f t="shared" si="18"/>
        <v>268.63126349999999</v>
      </c>
      <c r="X29" s="101">
        <f>+U29+V29+W29</f>
        <v>1882.8280934999998</v>
      </c>
      <c r="Y29" s="88"/>
      <c r="Z29" s="88"/>
      <c r="AB29" s="36"/>
      <c r="AC29" s="36"/>
      <c r="AD29" s="36"/>
      <c r="AE29" s="36"/>
      <c r="AF29" s="36"/>
    </row>
    <row r="30" spans="1:32" ht="15.75" x14ac:dyDescent="0.25">
      <c r="A30" s="88"/>
      <c r="B30" s="88"/>
      <c r="C30" s="88"/>
      <c r="D30" s="88"/>
      <c r="E30" s="88"/>
      <c r="F30" s="88"/>
      <c r="G30" s="94"/>
      <c r="H30" s="95"/>
      <c r="I30" s="99"/>
      <c r="J30" s="99"/>
      <c r="K30" s="99"/>
      <c r="L30" s="100"/>
      <c r="M30" s="99"/>
      <c r="N30" s="99"/>
      <c r="O30" s="99"/>
      <c r="P30" s="100"/>
      <c r="Q30" s="99"/>
      <c r="R30" s="99"/>
      <c r="S30" s="99"/>
      <c r="T30" s="100"/>
      <c r="U30" s="99"/>
      <c r="V30" s="99"/>
      <c r="W30" s="99"/>
      <c r="X30" s="101"/>
      <c r="Y30" s="88"/>
      <c r="Z30" s="88"/>
      <c r="AB30" s="133"/>
      <c r="AC30" s="134"/>
      <c r="AD30" s="36"/>
      <c r="AE30" s="36"/>
      <c r="AF30" s="36"/>
    </row>
    <row r="31" spans="1:32" ht="15.75" x14ac:dyDescent="0.25">
      <c r="A31" s="88"/>
      <c r="B31" s="88"/>
      <c r="C31" s="88" t="s">
        <v>166</v>
      </c>
      <c r="D31" s="88">
        <v>1.1600999999999999</v>
      </c>
      <c r="E31" s="88"/>
      <c r="F31" s="88"/>
      <c r="G31" s="94" t="s">
        <v>167</v>
      </c>
      <c r="H31" s="95" t="s">
        <v>155</v>
      </c>
      <c r="I31" s="99">
        <f>+I26*$D$26</f>
        <v>410.94861349125006</v>
      </c>
      <c r="J31" s="99">
        <f>+J26*$D$26</f>
        <v>1390.4884233539999</v>
      </c>
      <c r="K31" s="99">
        <f>+K26*$D$26</f>
        <v>47.158037613750004</v>
      </c>
      <c r="L31" s="100">
        <f>+I31+J31+K31</f>
        <v>1848.595074459</v>
      </c>
      <c r="M31" s="99" t="s">
        <v>156</v>
      </c>
      <c r="N31" s="99">
        <f>+N26*$D$26</f>
        <v>185.93740544850004</v>
      </c>
      <c r="O31" s="99">
        <f>+O26*$D$26</f>
        <v>109.13717276325001</v>
      </c>
      <c r="P31" s="100">
        <f>+N31+O31</f>
        <v>295.07457821175007</v>
      </c>
      <c r="Q31" s="99">
        <f>+Q26*$D$26</f>
        <v>269.47450064999998</v>
      </c>
      <c r="R31" s="99">
        <f>+R26*$D$26</f>
        <v>1026.6978474765001</v>
      </c>
      <c r="S31" s="99" t="s">
        <v>156</v>
      </c>
      <c r="T31" s="100">
        <f>+Q31+R31</f>
        <v>1296.1723481265001</v>
      </c>
      <c r="U31" s="99" t="s">
        <v>156</v>
      </c>
      <c r="V31" s="99" t="s">
        <v>156</v>
      </c>
      <c r="W31" s="99" t="s">
        <v>156</v>
      </c>
      <c r="X31" s="101" t="s">
        <v>156</v>
      </c>
      <c r="Y31" s="102"/>
      <c r="Z31" s="102"/>
      <c r="AB31" s="133"/>
      <c r="AC31" s="135"/>
      <c r="AD31" s="36"/>
      <c r="AE31" s="36"/>
      <c r="AF31" s="36"/>
    </row>
    <row r="32" spans="1:32" ht="15.75" x14ac:dyDescent="0.25">
      <c r="A32" s="88"/>
      <c r="B32" s="88"/>
      <c r="C32" s="88" t="s">
        <v>168</v>
      </c>
      <c r="D32" s="88"/>
      <c r="E32" s="88"/>
      <c r="F32" s="88"/>
      <c r="G32" s="94"/>
      <c r="H32" s="95" t="s">
        <v>157</v>
      </c>
      <c r="I32" s="99" t="s">
        <v>156</v>
      </c>
      <c r="J32" s="99" t="s">
        <v>156</v>
      </c>
      <c r="K32" s="99" t="s">
        <v>156</v>
      </c>
      <c r="L32" s="100" t="s">
        <v>156</v>
      </c>
      <c r="M32" s="99">
        <f>+M27*$D$26</f>
        <v>80.842350195000009</v>
      </c>
      <c r="N32" s="99">
        <f>+N27*$D$26</f>
        <v>513.34892373825005</v>
      </c>
      <c r="O32" s="99" t="s">
        <v>156</v>
      </c>
      <c r="P32" s="100">
        <f>+M32+N32</f>
        <v>594.19127393325005</v>
      </c>
      <c r="Q32" s="99" t="s">
        <v>156</v>
      </c>
      <c r="R32" s="99">
        <f>+R27*$D$26</f>
        <v>870.4026370995</v>
      </c>
      <c r="S32" s="99">
        <f>+S27*$D$26</f>
        <v>672.3388791217501</v>
      </c>
      <c r="T32" s="100">
        <f>+R32+S32</f>
        <v>1542.7415162212501</v>
      </c>
      <c r="U32" s="99">
        <f>+U27*$D$26</f>
        <v>425.76971102700003</v>
      </c>
      <c r="V32" s="99">
        <f>+V27*$D$26</f>
        <v>1487.4992435880004</v>
      </c>
      <c r="W32" s="99">
        <f>+W27*$D$26</f>
        <v>90.273957717749994</v>
      </c>
      <c r="X32" s="101">
        <f>+U32+V32+W32</f>
        <v>2003.5429123327503</v>
      </c>
      <c r="Y32" s="102"/>
      <c r="Z32" s="102"/>
      <c r="AB32" s="36"/>
      <c r="AC32" s="136"/>
      <c r="AD32" s="36"/>
      <c r="AE32" s="36"/>
      <c r="AF32" s="36"/>
    </row>
    <row r="33" spans="1:32" ht="15.75" x14ac:dyDescent="0.25">
      <c r="A33" s="88"/>
      <c r="B33" s="88"/>
      <c r="C33" s="88"/>
      <c r="D33" s="88"/>
      <c r="E33" s="88"/>
      <c r="F33" s="88"/>
      <c r="G33" s="94" t="s">
        <v>169</v>
      </c>
      <c r="H33" s="95" t="s">
        <v>155</v>
      </c>
      <c r="I33" s="99">
        <f>+I28*$D$26</f>
        <v>1080.5927476065001</v>
      </c>
      <c r="J33" s="99">
        <f>+J28*$D$26</f>
        <v>1438.9938334709998</v>
      </c>
      <c r="K33" s="99">
        <f>+K28*$D$26</f>
        <v>25.600077561750005</v>
      </c>
      <c r="L33" s="100">
        <f>+I33+J33+K33</f>
        <v>2545.1866586392498</v>
      </c>
      <c r="M33" s="99" t="s">
        <v>156</v>
      </c>
      <c r="N33" s="99">
        <f>+N28*$D$26</f>
        <v>626.52821401125016</v>
      </c>
      <c r="O33" s="99">
        <f>+O28*$D$26</f>
        <v>246.56916809475001</v>
      </c>
      <c r="P33" s="100">
        <f>+N33+O33</f>
        <v>873.09738210600017</v>
      </c>
      <c r="Q33" s="99">
        <f>+Q28*$D$26</f>
        <v>215.57960052000001</v>
      </c>
      <c r="R33" s="99">
        <f>+R28*$D$26</f>
        <v>367.83269338725006</v>
      </c>
      <c r="S33" s="99" t="s">
        <v>156</v>
      </c>
      <c r="T33" s="100">
        <f>+Q33+R33</f>
        <v>583.41229390725005</v>
      </c>
      <c r="U33" s="99" t="s">
        <v>156</v>
      </c>
      <c r="V33" s="99" t="s">
        <v>156</v>
      </c>
      <c r="W33" s="99" t="s">
        <v>156</v>
      </c>
      <c r="X33" s="101" t="s">
        <v>156</v>
      </c>
      <c r="Y33" s="102"/>
      <c r="Z33" s="102"/>
      <c r="AB33" s="36"/>
      <c r="AC33" s="36"/>
      <c r="AD33" s="36"/>
      <c r="AE33" s="36"/>
      <c r="AF33" s="36"/>
    </row>
    <row r="34" spans="1:32" ht="15.75" x14ac:dyDescent="0.25">
      <c r="A34" s="88"/>
      <c r="B34" s="88"/>
      <c r="C34" s="88"/>
      <c r="D34" s="88"/>
      <c r="E34" s="88"/>
      <c r="F34" s="88"/>
      <c r="G34" s="103"/>
      <c r="H34" s="104" t="s">
        <v>157</v>
      </c>
      <c r="I34" s="105" t="s">
        <v>156</v>
      </c>
      <c r="J34" s="105" t="s">
        <v>156</v>
      </c>
      <c r="K34" s="105" t="s">
        <v>156</v>
      </c>
      <c r="L34" s="106" t="s">
        <v>156</v>
      </c>
      <c r="M34" s="105">
        <f>+M29*$D$26</f>
        <v>86.231840208000008</v>
      </c>
      <c r="N34" s="105">
        <f>+N29*$D$26</f>
        <v>1657.2681789975002</v>
      </c>
      <c r="O34" s="105" t="s">
        <v>156</v>
      </c>
      <c r="P34" s="106">
        <f>+M34+N34</f>
        <v>1743.5000192055002</v>
      </c>
      <c r="Q34" s="105" t="s">
        <v>156</v>
      </c>
      <c r="R34" s="105">
        <f>+R29*$D$26</f>
        <v>481.01198366025005</v>
      </c>
      <c r="S34" s="105">
        <f>+S29*$D$26</f>
        <v>611.70711647550013</v>
      </c>
      <c r="T34" s="106">
        <f>+R34+S34</f>
        <v>1092.7191001357501</v>
      </c>
      <c r="U34" s="105">
        <f>+U29*$D$26</f>
        <v>95.663447730750008</v>
      </c>
      <c r="V34" s="105">
        <f>+V29*$D$26</f>
        <v>1709.81570662425</v>
      </c>
      <c r="W34" s="105">
        <f>+W29*$D$26</f>
        <v>300.46406822475001</v>
      </c>
      <c r="X34" s="107">
        <f>+U34+V34+W34</f>
        <v>2105.94322257975</v>
      </c>
      <c r="Y34" s="102"/>
      <c r="Z34" s="102"/>
    </row>
    <row r="35" spans="1:32" ht="15.75" x14ac:dyDescent="0.25">
      <c r="A35" s="88"/>
      <c r="B35" s="88"/>
      <c r="C35" s="88"/>
      <c r="D35" s="88"/>
      <c r="E35" s="88"/>
      <c r="F35" s="88"/>
      <c r="G35" s="103"/>
      <c r="H35" s="104"/>
      <c r="I35" s="105"/>
      <c r="J35" s="105"/>
      <c r="K35" s="105"/>
      <c r="L35" s="106"/>
      <c r="M35" s="105"/>
      <c r="N35" s="105"/>
      <c r="O35" s="105"/>
      <c r="P35" s="106"/>
      <c r="Q35" s="105"/>
      <c r="R35" s="105"/>
      <c r="S35" s="105"/>
      <c r="T35" s="106"/>
      <c r="U35" s="105"/>
      <c r="V35" s="105"/>
      <c r="W35" s="105"/>
      <c r="X35" s="107"/>
      <c r="Y35" s="102"/>
      <c r="Z35" s="102"/>
    </row>
    <row r="36" spans="1:32" ht="15.75" x14ac:dyDescent="0.25">
      <c r="A36" s="88"/>
      <c r="B36" s="88"/>
      <c r="C36" s="88" t="s">
        <v>170</v>
      </c>
      <c r="D36" s="88">
        <v>1.1104000000000001</v>
      </c>
      <c r="E36" s="88"/>
      <c r="F36" s="88"/>
      <c r="G36" s="94" t="s">
        <v>171</v>
      </c>
      <c r="H36" s="95" t="s">
        <v>155</v>
      </c>
      <c r="I36" s="99">
        <f>+I31*$D$26</f>
        <v>459.64602418996321</v>
      </c>
      <c r="J36" s="99">
        <f t="shared" ref="J36:K36" si="19">+J31*$D$26</f>
        <v>1555.261301521449</v>
      </c>
      <c r="K36" s="99">
        <f t="shared" si="19"/>
        <v>52.746265070979383</v>
      </c>
      <c r="L36" s="100">
        <f>+I36+J36+K36</f>
        <v>2067.6535907823918</v>
      </c>
      <c r="M36" s="99" t="s">
        <v>156</v>
      </c>
      <c r="N36" s="99">
        <f t="shared" ref="N36:O36" si="20">+N31*$D$26</f>
        <v>207.97098799414732</v>
      </c>
      <c r="O36" s="99">
        <f t="shared" si="20"/>
        <v>122.06992773569513</v>
      </c>
      <c r="P36" s="100">
        <f>+N36+O36</f>
        <v>330.04091572984248</v>
      </c>
      <c r="Q36" s="99">
        <f t="shared" ref="Q36:S37" si="21">+Q31*$D$26</f>
        <v>301.407228977025</v>
      </c>
      <c r="R36" s="99">
        <f t="shared" si="21"/>
        <v>1148.3615424024654</v>
      </c>
      <c r="S36" s="99" t="s">
        <v>156</v>
      </c>
      <c r="T36" s="100">
        <f>+Q36+R36</f>
        <v>1449.7687713794903</v>
      </c>
      <c r="U36" s="99" t="s">
        <v>156</v>
      </c>
      <c r="V36" s="99" t="s">
        <v>156</v>
      </c>
      <c r="W36" s="99" t="s">
        <v>156</v>
      </c>
      <c r="X36" s="101" t="s">
        <v>156</v>
      </c>
      <c r="Y36" s="88"/>
      <c r="Z36" s="88"/>
    </row>
    <row r="37" spans="1:32" ht="15.75" x14ac:dyDescent="0.25">
      <c r="A37" s="88"/>
      <c r="B37" s="88"/>
      <c r="C37" s="88" t="s">
        <v>172</v>
      </c>
      <c r="D37" s="88"/>
      <c r="E37" s="88"/>
      <c r="F37" s="88"/>
      <c r="G37" s="94"/>
      <c r="H37" s="95" t="s">
        <v>157</v>
      </c>
      <c r="I37" s="99" t="s">
        <v>156</v>
      </c>
      <c r="J37" s="99" t="s">
        <v>156</v>
      </c>
      <c r="K37" s="99" t="s">
        <v>156</v>
      </c>
      <c r="L37" s="100" t="s">
        <v>156</v>
      </c>
      <c r="M37" s="99">
        <f t="shared" ref="M37:O38" si="22">+M32*$D$26</f>
        <v>90.422168693107508</v>
      </c>
      <c r="N37" s="99">
        <f t="shared" si="22"/>
        <v>574.18077120123269</v>
      </c>
      <c r="O37" s="99" t="s">
        <v>156</v>
      </c>
      <c r="P37" s="100">
        <f>+M37+N37</f>
        <v>664.60293989434024</v>
      </c>
      <c r="Q37" s="99" t="s">
        <v>156</v>
      </c>
      <c r="R37" s="99">
        <f t="shared" si="21"/>
        <v>973.54534959579075</v>
      </c>
      <c r="S37" s="99">
        <f t="shared" si="21"/>
        <v>752.01103629767749</v>
      </c>
      <c r="T37" s="100">
        <f>+R37+S37</f>
        <v>1725.5563858934684</v>
      </c>
      <c r="U37" s="99">
        <f t="shared" ref="U37:W37" si="23">+U32*$D$26</f>
        <v>476.22342178369956</v>
      </c>
      <c r="V37" s="99">
        <f t="shared" si="23"/>
        <v>1663.7679039531786</v>
      </c>
      <c r="W37" s="99">
        <f t="shared" si="23"/>
        <v>100.97142170730338</v>
      </c>
      <c r="X37" s="101">
        <f>+U37+V37+W37</f>
        <v>2240.9627474441813</v>
      </c>
      <c r="Y37" s="88"/>
      <c r="Z37" s="88"/>
    </row>
    <row r="38" spans="1:32" ht="15.75" x14ac:dyDescent="0.25">
      <c r="A38" s="88"/>
      <c r="B38" s="88"/>
      <c r="C38" s="88"/>
      <c r="D38" s="88"/>
      <c r="E38" s="88"/>
      <c r="F38" s="88"/>
      <c r="G38" s="94" t="s">
        <v>173</v>
      </c>
      <c r="H38" s="95" t="s">
        <v>155</v>
      </c>
      <c r="I38" s="99">
        <f t="shared" ref="I38:K38" si="24">+I33*$D$26</f>
        <v>1208.6429881978704</v>
      </c>
      <c r="J38" s="99">
        <f t="shared" si="24"/>
        <v>1609.5146027373132</v>
      </c>
      <c r="K38" s="99">
        <f t="shared" si="24"/>
        <v>28.633686752817383</v>
      </c>
      <c r="L38" s="100">
        <f>+I38+J38+K38</f>
        <v>2846.7912776880012</v>
      </c>
      <c r="M38" s="99" t="s">
        <v>156</v>
      </c>
      <c r="N38" s="99">
        <f t="shared" si="22"/>
        <v>700.77180737158335</v>
      </c>
      <c r="O38" s="99">
        <f t="shared" si="22"/>
        <v>275.78761451397793</v>
      </c>
      <c r="P38" s="100">
        <f>+N38+O38</f>
        <v>976.55942188556128</v>
      </c>
      <c r="Q38" s="99">
        <f t="shared" ref="Q38:S39" si="25">+Q33*$D$26</f>
        <v>241.12578318162002</v>
      </c>
      <c r="R38" s="99">
        <f t="shared" si="25"/>
        <v>411.4208675536392</v>
      </c>
      <c r="S38" s="99" t="s">
        <v>156</v>
      </c>
      <c r="T38" s="100">
        <f>+Q38+R38</f>
        <v>652.54665073525916</v>
      </c>
      <c r="U38" s="99" t="s">
        <v>156</v>
      </c>
      <c r="V38" s="99" t="s">
        <v>156</v>
      </c>
      <c r="W38" s="99" t="s">
        <v>156</v>
      </c>
      <c r="X38" s="101" t="s">
        <v>156</v>
      </c>
      <c r="Y38" s="88"/>
      <c r="Z38" s="88"/>
    </row>
    <row r="39" spans="1:32" ht="16.5" thickBot="1" x14ac:dyDescent="0.3">
      <c r="A39" s="88"/>
      <c r="B39" s="88"/>
      <c r="C39" s="88"/>
      <c r="D39" s="88"/>
      <c r="E39" s="88"/>
      <c r="F39" s="88"/>
      <c r="G39" s="108"/>
      <c r="H39" s="109" t="s">
        <v>157</v>
      </c>
      <c r="I39" s="110" t="s">
        <v>156</v>
      </c>
      <c r="J39" s="110" t="s">
        <v>156</v>
      </c>
      <c r="K39" s="110" t="s">
        <v>156</v>
      </c>
      <c r="L39" s="111" t="s">
        <v>156</v>
      </c>
      <c r="M39" s="110">
        <f t="shared" ref="M39:N39" si="26">+M34*$D$26</f>
        <v>96.450313272648017</v>
      </c>
      <c r="N39" s="110">
        <f t="shared" si="26"/>
        <v>1853.654458208704</v>
      </c>
      <c r="O39" s="110" t="s">
        <v>156</v>
      </c>
      <c r="P39" s="111">
        <f>+M39+N39</f>
        <v>1950.1047714813519</v>
      </c>
      <c r="Q39" s="110" t="s">
        <v>156</v>
      </c>
      <c r="R39" s="110">
        <f t="shared" si="25"/>
        <v>538.01190372398969</v>
      </c>
      <c r="S39" s="110">
        <f t="shared" si="25"/>
        <v>684.19440977784689</v>
      </c>
      <c r="T39" s="111">
        <f>+R39+S39</f>
        <v>1222.2063135018366</v>
      </c>
      <c r="U39" s="110">
        <f t="shared" ref="U39:W39" si="27">+U34*$D$26</f>
        <v>106.99956628684389</v>
      </c>
      <c r="V39" s="110">
        <f t="shared" si="27"/>
        <v>1912.4288678592236</v>
      </c>
      <c r="W39" s="110">
        <f t="shared" si="27"/>
        <v>336.06906030938291</v>
      </c>
      <c r="X39" s="112">
        <f>+U39+V39+W39</f>
        <v>2355.4974944554506</v>
      </c>
      <c r="Y39" s="88"/>
      <c r="Z39" s="88"/>
    </row>
    <row r="40" spans="1:32" ht="15.75" thickTop="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H41"/>
  <sheetViews>
    <sheetView tabSelected="1" view="pageBreakPreview" zoomScaleNormal="85" zoomScaleSheetLayoutView="100" workbookViewId="0">
      <selection activeCell="H24" sqref="H24"/>
    </sheetView>
  </sheetViews>
  <sheetFormatPr defaultRowHeight="15" x14ac:dyDescent="0.25"/>
  <cols>
    <col min="1" max="1" width="45.140625" bestFit="1" customWidth="1"/>
    <col min="2" max="2" width="12.5703125" customWidth="1"/>
    <col min="3" max="3" width="5.28515625" customWidth="1"/>
    <col min="4" max="4" width="9.28515625" bestFit="1" customWidth="1"/>
    <col min="5" max="5" width="18.85546875" bestFit="1" customWidth="1"/>
    <col min="6" max="6" width="18.7109375" customWidth="1"/>
    <col min="7" max="7" width="25.5703125" customWidth="1"/>
    <col min="8" max="8" width="38.42578125" bestFit="1" customWidth="1"/>
  </cols>
  <sheetData>
    <row r="3" spans="1:8" x14ac:dyDescent="0.25">
      <c r="A3" s="22" t="s">
        <v>14</v>
      </c>
      <c r="D3" s="21" t="s">
        <v>27</v>
      </c>
      <c r="E3" s="21" t="s">
        <v>33</v>
      </c>
      <c r="F3" s="21" t="s">
        <v>118</v>
      </c>
      <c r="G3" s="21" t="s">
        <v>123</v>
      </c>
      <c r="H3" s="21" t="s">
        <v>88</v>
      </c>
    </row>
    <row r="4" spans="1:8" x14ac:dyDescent="0.25">
      <c r="A4" s="23" t="s">
        <v>15</v>
      </c>
      <c r="B4" s="35">
        <v>2015</v>
      </c>
      <c r="D4" s="122">
        <v>2018</v>
      </c>
      <c r="E4" s="125">
        <f>+'Delay Calculations'!F8</f>
        <v>63960</v>
      </c>
      <c r="F4" s="84">
        <v>1</v>
      </c>
      <c r="G4" s="85">
        <f t="shared" ref="G4:G36" si="0">Value_of_Travel_Time__VoTT___2015*(1+Real_wage_growth_rate)^(D4-Base_Year)</f>
        <v>16.686583020800001</v>
      </c>
      <c r="H4" s="78">
        <f t="shared" ref="H4:H36" si="1">(E4*F4)*(Vehicle_Occupancy*G4)/10^3</f>
        <v>1408.8014820136859</v>
      </c>
    </row>
    <row r="5" spans="1:8" x14ac:dyDescent="0.25">
      <c r="A5" s="23" t="s">
        <v>17</v>
      </c>
      <c r="B5" s="23">
        <v>1.32</v>
      </c>
      <c r="D5" s="20">
        <f t="shared" ref="D5:D36" si="2">D4+1</f>
        <v>2019</v>
      </c>
      <c r="E5" s="29">
        <f>ROUND(E$4+((E$11-E$4)/7),0)</f>
        <v>64443</v>
      </c>
      <c r="F5" s="84">
        <v>1</v>
      </c>
      <c r="G5" s="85">
        <f t="shared" si="0"/>
        <v>16.8868220170496</v>
      </c>
      <c r="H5" s="78">
        <f t="shared" si="1"/>
        <v>1436.4734620430402</v>
      </c>
    </row>
    <row r="6" spans="1:8" x14ac:dyDescent="0.25">
      <c r="A6" s="23" t="s">
        <v>84</v>
      </c>
      <c r="B6" s="25">
        <f>'[1]Assumed Values'!C15</f>
        <v>16.100000000000001</v>
      </c>
      <c r="D6" s="79">
        <f t="shared" si="2"/>
        <v>2020</v>
      </c>
      <c r="E6" s="29">
        <f>ROUND(E$4+((E$11-E$4)*2/7),0)</f>
        <v>64926</v>
      </c>
      <c r="F6" s="84">
        <v>1</v>
      </c>
      <c r="G6" s="85">
        <f t="shared" si="0"/>
        <v>17.089463881254197</v>
      </c>
      <c r="H6" s="78">
        <f t="shared" si="1"/>
        <v>1464.6067021796891</v>
      </c>
    </row>
    <row r="7" spans="1:8" x14ac:dyDescent="0.25">
      <c r="A7" s="23" t="s">
        <v>122</v>
      </c>
      <c r="B7" s="77">
        <v>1.2E-2</v>
      </c>
      <c r="D7" s="20">
        <f t="shared" si="2"/>
        <v>2021</v>
      </c>
      <c r="E7" s="29">
        <f>ROUND(E$4+((E$11-E$4)*3/7),0)</f>
        <v>65409</v>
      </c>
      <c r="F7" s="84">
        <v>1</v>
      </c>
      <c r="G7" s="85">
        <f t="shared" si="0"/>
        <v>17.294537447829242</v>
      </c>
      <c r="H7" s="78">
        <f t="shared" si="1"/>
        <v>1493.2082879010832</v>
      </c>
    </row>
    <row r="8" spans="1:8" x14ac:dyDescent="0.25">
      <c r="A8" s="23" t="s">
        <v>29</v>
      </c>
      <c r="B8" s="124">
        <v>260</v>
      </c>
      <c r="D8" s="79">
        <f t="shared" si="2"/>
        <v>2022</v>
      </c>
      <c r="E8" s="29">
        <f>ROUND(E$4+((E$11-E$4)*4/7),0)</f>
        <v>65891</v>
      </c>
      <c r="F8" s="84">
        <v>1</v>
      </c>
      <c r="G8" s="85">
        <f t="shared" si="0"/>
        <v>17.502071897203198</v>
      </c>
      <c r="H8" s="78">
        <f t="shared" si="1"/>
        <v>1522.2623055797728</v>
      </c>
    </row>
    <row r="9" spans="1:8" x14ac:dyDescent="0.25">
      <c r="A9" s="23" t="s">
        <v>89</v>
      </c>
      <c r="B9" s="23">
        <v>20</v>
      </c>
      <c r="D9" s="20">
        <f t="shared" si="2"/>
        <v>2023</v>
      </c>
      <c r="E9" s="29">
        <f>ROUND(E$4+((E$11-E$4)*5/7),0)</f>
        <v>66374</v>
      </c>
      <c r="F9" s="84">
        <v>1</v>
      </c>
      <c r="G9" s="85">
        <f t="shared" si="0"/>
        <v>17.712096759969636</v>
      </c>
      <c r="H9" s="78">
        <f t="shared" si="1"/>
        <v>1551.8219776570165</v>
      </c>
    </row>
    <row r="10" spans="1:8" x14ac:dyDescent="0.25">
      <c r="D10" s="79">
        <f t="shared" si="2"/>
        <v>2024</v>
      </c>
      <c r="E10" s="29">
        <f>ROUND(E$4+((E$11-E$4)*6/7),0)</f>
        <v>66857</v>
      </c>
      <c r="F10" s="84">
        <v>1</v>
      </c>
      <c r="G10" s="85">
        <f t="shared" si="0"/>
        <v>17.924641921089272</v>
      </c>
      <c r="H10" s="78">
        <f t="shared" si="1"/>
        <v>1581.8718760921106</v>
      </c>
    </row>
    <row r="11" spans="1:8" x14ac:dyDescent="0.25">
      <c r="D11" s="123">
        <f t="shared" si="2"/>
        <v>2025</v>
      </c>
      <c r="E11" s="121">
        <f>+'Delay Calculations'!F11</f>
        <v>67340</v>
      </c>
      <c r="F11" s="84">
        <v>1</v>
      </c>
      <c r="G11" s="85">
        <f t="shared" si="0"/>
        <v>18.139737624142342</v>
      </c>
      <c r="H11" s="78">
        <f t="shared" si="1"/>
        <v>1612.4195097248639</v>
      </c>
    </row>
    <row r="12" spans="1:8" x14ac:dyDescent="0.25">
      <c r="D12" s="79">
        <f t="shared" si="2"/>
        <v>2026</v>
      </c>
      <c r="E12" s="29">
        <f>ROUND(E$11+((E$26-E$11)*1/15),0)</f>
        <v>68207</v>
      </c>
      <c r="F12" s="84">
        <v>1</v>
      </c>
      <c r="G12" s="85">
        <f t="shared" si="0"/>
        <v>18.357414475632051</v>
      </c>
      <c r="H12" s="78">
        <f t="shared" si="1"/>
        <v>1652.7775032640548</v>
      </c>
    </row>
    <row r="13" spans="1:8" x14ac:dyDescent="0.25">
      <c r="D13" s="20">
        <f t="shared" si="2"/>
        <v>2027</v>
      </c>
      <c r="E13" s="29">
        <f>ROUND(E$11+((E$26-E$11)*2/15),0)</f>
        <v>69073</v>
      </c>
      <c r="F13" s="84">
        <v>1</v>
      </c>
      <c r="G13" s="85">
        <f t="shared" si="0"/>
        <v>18.577703449339634</v>
      </c>
      <c r="H13" s="78">
        <f t="shared" si="1"/>
        <v>1693.8473776702322</v>
      </c>
    </row>
    <row r="14" spans="1:8" x14ac:dyDescent="0.25">
      <c r="D14" s="79">
        <f t="shared" si="2"/>
        <v>2028</v>
      </c>
      <c r="E14" s="29">
        <f>ROUND(E$11+((E$26-E$11)*3/15),0)</f>
        <v>69940</v>
      </c>
      <c r="F14" s="84">
        <v>1</v>
      </c>
      <c r="G14" s="85">
        <f t="shared" si="0"/>
        <v>18.800635890731709</v>
      </c>
      <c r="H14" s="78">
        <f t="shared" si="1"/>
        <v>1735.6897459410638</v>
      </c>
    </row>
    <row r="15" spans="1:8" x14ac:dyDescent="0.25">
      <c r="D15" s="20">
        <f t="shared" si="2"/>
        <v>2029</v>
      </c>
      <c r="E15" s="29">
        <f>ROUND(E$11+((E$26-E$11)*4/15),0)</f>
        <v>70807</v>
      </c>
      <c r="F15" s="84">
        <v>1</v>
      </c>
      <c r="G15" s="85">
        <f t="shared" si="0"/>
        <v>19.026243521420486</v>
      </c>
      <c r="H15" s="78">
        <f t="shared" si="1"/>
        <v>1778.292417028011</v>
      </c>
    </row>
    <row r="16" spans="1:8" x14ac:dyDescent="0.25">
      <c r="D16" s="79">
        <f t="shared" si="2"/>
        <v>2030</v>
      </c>
      <c r="E16" s="29">
        <f>ROUND(E$11+((E$26-E$11)*5/15),0)</f>
        <v>71673</v>
      </c>
      <c r="F16" s="84">
        <v>1</v>
      </c>
      <c r="G16" s="85">
        <f t="shared" si="0"/>
        <v>19.254558443677539</v>
      </c>
      <c r="H16" s="78">
        <f t="shared" si="1"/>
        <v>1821.6421968804843</v>
      </c>
    </row>
    <row r="17" spans="1:8" x14ac:dyDescent="0.25">
      <c r="A17" s="34"/>
      <c r="D17" s="20">
        <f t="shared" si="2"/>
        <v>2031</v>
      </c>
      <c r="E17" s="29">
        <f>ROUND(E$11+((E$26-E$11)*6/15),0)</f>
        <v>72540</v>
      </c>
      <c r="F17" s="84">
        <v>1</v>
      </c>
      <c r="G17" s="85">
        <f t="shared" si="0"/>
        <v>19.485613145001668</v>
      </c>
      <c r="H17" s="78">
        <f t="shared" si="1"/>
        <v>1865.8020183507158</v>
      </c>
    </row>
    <row r="18" spans="1:8" x14ac:dyDescent="0.25">
      <c r="D18" s="79">
        <f t="shared" si="2"/>
        <v>2032</v>
      </c>
      <c r="E18" s="29">
        <f>ROUND(E$11+((E$26-E$11)*7/15),0)</f>
        <v>73407</v>
      </c>
      <c r="F18" s="84">
        <v>1</v>
      </c>
      <c r="G18" s="85">
        <f t="shared" si="0"/>
        <v>19.719440502741691</v>
      </c>
      <c r="H18" s="78">
        <f t="shared" si="1"/>
        <v>1910.7593590598824</v>
      </c>
    </row>
    <row r="19" spans="1:8" x14ac:dyDescent="0.25">
      <c r="D19" s="20">
        <f t="shared" si="2"/>
        <v>2033</v>
      </c>
      <c r="E19" s="29">
        <f>ROUND(E$11+((E$26-E$11)*8/15),0)</f>
        <v>74273</v>
      </c>
      <c r="F19" s="84">
        <v>1</v>
      </c>
      <c r="G19" s="85">
        <f t="shared" si="0"/>
        <v>19.956073788774585</v>
      </c>
      <c r="H19" s="78">
        <f t="shared" si="1"/>
        <v>1956.5006584380244</v>
      </c>
    </row>
    <row r="20" spans="1:8" x14ac:dyDescent="0.25">
      <c r="D20" s="79">
        <f t="shared" si="2"/>
        <v>2034</v>
      </c>
      <c r="E20" s="29">
        <f>ROUND(E$11+((E$26-E$11)*9/15),0)</f>
        <v>75140</v>
      </c>
      <c r="F20" s="84">
        <v>1</v>
      </c>
      <c r="G20" s="85">
        <f t="shared" si="0"/>
        <v>20.195546674239885</v>
      </c>
      <c r="H20" s="78">
        <f t="shared" si="1"/>
        <v>2003.0912577751483</v>
      </c>
    </row>
    <row r="21" spans="1:8" x14ac:dyDescent="0.25">
      <c r="D21" s="20">
        <f t="shared" si="2"/>
        <v>2035</v>
      </c>
      <c r="E21" s="29">
        <f>ROUND(E$11+((E$26-E$11)*10/15),0)</f>
        <v>76007</v>
      </c>
      <c r="F21" s="84">
        <v>1</v>
      </c>
      <c r="G21" s="85">
        <f t="shared" si="0"/>
        <v>20.437893234330762</v>
      </c>
      <c r="H21" s="78">
        <f t="shared" si="1"/>
        <v>2050.5182954015472</v>
      </c>
    </row>
    <row r="22" spans="1:8" x14ac:dyDescent="0.25">
      <c r="D22" s="79">
        <f t="shared" si="2"/>
        <v>2036</v>
      </c>
      <c r="E22" s="29">
        <f>ROUND(E$11+((E$26-E$11)*11/15),0)</f>
        <v>76873</v>
      </c>
      <c r="F22" s="84">
        <v>1</v>
      </c>
      <c r="G22" s="85">
        <f t="shared" si="0"/>
        <v>20.683147953142733</v>
      </c>
      <c r="H22" s="78">
        <f t="shared" si="1"/>
        <v>2098.7678350345627</v>
      </c>
    </row>
    <row r="23" spans="1:8" x14ac:dyDescent="0.25">
      <c r="D23" s="20">
        <f t="shared" si="2"/>
        <v>2037</v>
      </c>
      <c r="E23" s="29">
        <f>ROUND(E$11+((E$26-E$11)*12/15),0)</f>
        <v>77740</v>
      </c>
      <c r="F23" s="84">
        <v>1</v>
      </c>
      <c r="G23" s="85">
        <f t="shared" si="0"/>
        <v>20.931345728580439</v>
      </c>
      <c r="H23" s="78">
        <f t="shared" si="1"/>
        <v>2147.9077183605932</v>
      </c>
    </row>
    <row r="24" spans="1:8" x14ac:dyDescent="0.25">
      <c r="D24" s="79">
        <f t="shared" si="2"/>
        <v>2038</v>
      </c>
      <c r="E24" s="29">
        <f>ROUND(E$11+((E$26-E$11)*13/15),0)</f>
        <v>78607</v>
      </c>
      <c r="F24" s="84">
        <v>1</v>
      </c>
      <c r="G24" s="85">
        <f t="shared" si="0"/>
        <v>21.18252187732341</v>
      </c>
      <c r="H24" s="78">
        <f t="shared" si="1"/>
        <v>2197.9247363182049</v>
      </c>
    </row>
    <row r="25" spans="1:8" x14ac:dyDescent="0.25">
      <c r="D25" s="20">
        <f t="shared" si="2"/>
        <v>2039</v>
      </c>
      <c r="E25" s="29">
        <f>ROUND(E$11+((E$26-E$11)*14/15),0)</f>
        <v>79473</v>
      </c>
      <c r="F25" s="84">
        <v>0</v>
      </c>
      <c r="G25" s="85">
        <f t="shared" si="0"/>
        <v>21.436712139851288</v>
      </c>
      <c r="H25" s="120">
        <f t="shared" si="1"/>
        <v>0</v>
      </c>
    </row>
    <row r="26" spans="1:8" x14ac:dyDescent="0.25">
      <c r="D26" s="122">
        <f t="shared" si="2"/>
        <v>2040</v>
      </c>
      <c r="E26" s="121">
        <f>+'Delay Calculations'!F14</f>
        <v>80340</v>
      </c>
      <c r="F26" s="84">
        <v>0</v>
      </c>
      <c r="G26" s="85">
        <f t="shared" si="0"/>
        <v>21.693952685529503</v>
      </c>
      <c r="H26" s="120">
        <f t="shared" si="1"/>
        <v>0</v>
      </c>
    </row>
    <row r="27" spans="1:8" x14ac:dyDescent="0.25">
      <c r="D27" s="20">
        <f t="shared" si="2"/>
        <v>2041</v>
      </c>
      <c r="E27" s="29">
        <f>ROUND(E$11+((E$26-E$11)*16/15),0)</f>
        <v>81207</v>
      </c>
      <c r="F27" s="84">
        <v>0</v>
      </c>
      <c r="G27" s="85">
        <f t="shared" si="0"/>
        <v>21.954280117755857</v>
      </c>
      <c r="H27" s="120">
        <f t="shared" si="1"/>
        <v>0</v>
      </c>
    </row>
    <row r="28" spans="1:8" x14ac:dyDescent="0.25">
      <c r="D28" s="79">
        <f t="shared" si="2"/>
        <v>2042</v>
      </c>
      <c r="E28" s="29">
        <f>ROUND(E$11+((E$26-E$11)*17/15),0)</f>
        <v>82073</v>
      </c>
      <c r="F28" s="84">
        <v>0</v>
      </c>
      <c r="G28" s="85">
        <f t="shared" si="0"/>
        <v>22.217731479168929</v>
      </c>
      <c r="H28" s="120">
        <f t="shared" si="1"/>
        <v>0</v>
      </c>
    </row>
    <row r="29" spans="1:8" x14ac:dyDescent="0.25">
      <c r="D29" s="20">
        <f t="shared" si="2"/>
        <v>2043</v>
      </c>
      <c r="E29" s="29">
        <f>ROUND(E$11+((E$26-E$11)*18/15),0)</f>
        <v>82940</v>
      </c>
      <c r="F29" s="84">
        <v>0</v>
      </c>
      <c r="G29" s="85">
        <f t="shared" si="0"/>
        <v>22.484344256918956</v>
      </c>
      <c r="H29" s="120">
        <f t="shared" si="1"/>
        <v>0</v>
      </c>
    </row>
    <row r="30" spans="1:8" x14ac:dyDescent="0.25">
      <c r="D30" s="20">
        <f t="shared" si="2"/>
        <v>2044</v>
      </c>
      <c r="E30" s="29">
        <f>ROUND(E$11+((E$26-E$11)*19/15),0)</f>
        <v>83807</v>
      </c>
      <c r="F30" s="84">
        <v>0</v>
      </c>
      <c r="G30" s="85">
        <f t="shared" si="0"/>
        <v>22.754156388001981</v>
      </c>
      <c r="H30" s="120">
        <f t="shared" si="1"/>
        <v>0</v>
      </c>
    </row>
    <row r="31" spans="1:8" x14ac:dyDescent="0.25">
      <c r="D31" s="20">
        <f t="shared" si="2"/>
        <v>2045</v>
      </c>
      <c r="E31" s="29">
        <f>ROUND(E$11+((E$26-E$11)*20/15),0)</f>
        <v>84673</v>
      </c>
      <c r="F31" s="84">
        <v>0</v>
      </c>
      <c r="G31" s="85">
        <f t="shared" si="0"/>
        <v>23.027206264658005</v>
      </c>
      <c r="H31" s="120">
        <f t="shared" si="1"/>
        <v>0</v>
      </c>
    </row>
    <row r="32" spans="1:8" x14ac:dyDescent="0.25">
      <c r="D32" s="20">
        <f t="shared" si="2"/>
        <v>2046</v>
      </c>
      <c r="E32" s="29">
        <f>ROUND(E$11+((E$26-E$11)*21/15),0)</f>
        <v>85540</v>
      </c>
      <c r="F32" s="84">
        <v>0</v>
      </c>
      <c r="G32" s="85">
        <f t="shared" si="0"/>
        <v>23.303532739833908</v>
      </c>
      <c r="H32" s="120">
        <f t="shared" si="1"/>
        <v>0</v>
      </c>
    </row>
    <row r="33" spans="1:8" x14ac:dyDescent="0.25">
      <c r="D33" s="20">
        <f t="shared" si="2"/>
        <v>2047</v>
      </c>
      <c r="E33" s="29">
        <f>ROUND(E$11+((E$26-E$11)*22/15),0)</f>
        <v>86407</v>
      </c>
      <c r="F33" s="84">
        <v>0</v>
      </c>
      <c r="G33" s="85">
        <f t="shared" si="0"/>
        <v>23.583175132711911</v>
      </c>
      <c r="H33" s="120">
        <f t="shared" si="1"/>
        <v>0</v>
      </c>
    </row>
    <row r="34" spans="1:8" x14ac:dyDescent="0.25">
      <c r="D34" s="20">
        <f t="shared" si="2"/>
        <v>2048</v>
      </c>
      <c r="E34" s="29">
        <f>ROUND(E$11+((E$26-E$11)*23/15),0)</f>
        <v>87273</v>
      </c>
      <c r="F34" s="84">
        <v>0</v>
      </c>
      <c r="G34" s="85">
        <f t="shared" si="0"/>
        <v>23.866173234304451</v>
      </c>
      <c r="H34" s="120">
        <f t="shared" si="1"/>
        <v>0</v>
      </c>
    </row>
    <row r="35" spans="1:8" x14ac:dyDescent="0.25">
      <c r="D35" s="20">
        <f t="shared" si="2"/>
        <v>2049</v>
      </c>
      <c r="E35" s="29">
        <f>ROUND(E$11+((E$26-E$11)*24/15),0)</f>
        <v>88140</v>
      </c>
      <c r="F35" s="84">
        <v>0</v>
      </c>
      <c r="G35" s="85">
        <f t="shared" si="0"/>
        <v>24.152567313116105</v>
      </c>
      <c r="H35" s="120">
        <f t="shared" si="1"/>
        <v>0</v>
      </c>
    </row>
    <row r="36" spans="1:8" x14ac:dyDescent="0.25">
      <c r="D36" s="20">
        <f t="shared" si="2"/>
        <v>2050</v>
      </c>
      <c r="E36" s="29">
        <f>ROUND(E$11+((E$26-E$11)*25/15),0)</f>
        <v>89007</v>
      </c>
      <c r="F36" s="84">
        <v>0</v>
      </c>
      <c r="G36" s="85">
        <f t="shared" si="0"/>
        <v>24.442398120873499</v>
      </c>
      <c r="H36" s="120">
        <f t="shared" si="1"/>
        <v>0</v>
      </c>
    </row>
    <row r="37" spans="1:8" ht="15.75" thickBot="1" x14ac:dyDescent="0.3"/>
    <row r="38" spans="1:8" x14ac:dyDescent="0.25">
      <c r="G38" s="119" t="s">
        <v>182</v>
      </c>
      <c r="H38" s="118">
        <f>SUM(H4:H36)</f>
        <v>36984.986722713787</v>
      </c>
    </row>
    <row r="39" spans="1:8" ht="15.75" thickBot="1" x14ac:dyDescent="0.3">
      <c r="G39" s="117" t="s">
        <v>181</v>
      </c>
      <c r="H39" s="116">
        <v>270</v>
      </c>
    </row>
    <row r="40" spans="1:8" ht="15.75" thickBot="1" x14ac:dyDescent="0.3">
      <c r="A40" s="11"/>
      <c r="G40" s="115" t="s">
        <v>30</v>
      </c>
      <c r="H40" s="114">
        <f>ROUND(H38/H39,4)</f>
        <v>136.98140000000001</v>
      </c>
    </row>
    <row r="41" spans="1:8" x14ac:dyDescent="0.25">
      <c r="A41" s="11"/>
    </row>
  </sheetData>
  <pageMargins left="0.25" right="0.25" top="0.75" bottom="0.75" header="0.3" footer="0.3"/>
  <pageSetup paperSize="1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F14" sqref="F14"/>
    </sheetView>
  </sheetViews>
  <sheetFormatPr defaultRowHeight="15" x14ac:dyDescent="0.25"/>
  <cols>
    <col min="1" max="1" width="5" bestFit="1" customWidth="1"/>
    <col min="2" max="2" width="8.28515625" bestFit="1" customWidth="1"/>
    <col min="3" max="3" width="13.140625" bestFit="1" customWidth="1"/>
    <col min="4" max="4" width="9.42578125" bestFit="1" customWidth="1"/>
    <col min="5" max="5" width="10.85546875" bestFit="1" customWidth="1"/>
    <col min="6" max="6" width="12.7109375" bestFit="1" customWidth="1"/>
  </cols>
  <sheetData>
    <row r="1" spans="1:6" x14ac:dyDescent="0.25">
      <c r="A1" s="73"/>
      <c r="B1" s="73"/>
      <c r="C1" s="73" t="s">
        <v>183</v>
      </c>
      <c r="D1" s="73"/>
      <c r="E1" s="73" t="s">
        <v>188</v>
      </c>
      <c r="F1" s="73" t="s">
        <v>187</v>
      </c>
    </row>
    <row r="2" spans="1:6" x14ac:dyDescent="0.25">
      <c r="A2" s="73" t="s">
        <v>27</v>
      </c>
      <c r="B2" s="73"/>
      <c r="C2" s="73" t="s">
        <v>174</v>
      </c>
      <c r="D2" s="73" t="s">
        <v>175</v>
      </c>
      <c r="E2" s="73" t="s">
        <v>186</v>
      </c>
      <c r="F2" s="73" t="s">
        <v>186</v>
      </c>
    </row>
    <row r="3" spans="1:6" x14ac:dyDescent="0.25">
      <c r="A3" s="73">
        <v>2015</v>
      </c>
      <c r="B3" s="73" t="s">
        <v>184</v>
      </c>
      <c r="C3" s="73">
        <v>104</v>
      </c>
      <c r="D3" s="73">
        <v>58</v>
      </c>
      <c r="E3" s="73">
        <f>+C3-D3</f>
        <v>46</v>
      </c>
      <c r="F3" s="73"/>
    </row>
    <row r="4" spans="1:6" x14ac:dyDescent="0.25">
      <c r="A4" s="73"/>
      <c r="B4" s="73" t="s">
        <v>185</v>
      </c>
      <c r="C4" s="73">
        <v>144</v>
      </c>
      <c r="D4" s="73">
        <v>101</v>
      </c>
      <c r="E4" s="73">
        <f>+C4-D4</f>
        <v>43</v>
      </c>
      <c r="F4" s="73"/>
    </row>
    <row r="5" spans="1:6" x14ac:dyDescent="0.25">
      <c r="A5" s="73"/>
      <c r="B5" s="73" t="s">
        <v>180</v>
      </c>
      <c r="C5" s="73">
        <f>SUM(C3:C4)</f>
        <v>248</v>
      </c>
      <c r="D5" s="73">
        <f>SUM(D3:D4)</f>
        <v>159</v>
      </c>
      <c r="E5" s="73">
        <f>+C5-D5</f>
        <v>89</v>
      </c>
      <c r="F5" s="73">
        <f>+E5*Calculations!Annual_Days_of_Travel</f>
        <v>23140</v>
      </c>
    </row>
    <row r="6" spans="1:6" x14ac:dyDescent="0.25">
      <c r="A6" s="73">
        <v>2018</v>
      </c>
      <c r="B6" s="73" t="s">
        <v>184</v>
      </c>
      <c r="C6" s="73">
        <v>255</v>
      </c>
      <c r="D6" s="73">
        <v>100</v>
      </c>
      <c r="E6" s="73">
        <f t="shared" ref="E6:E14" si="0">+C6-D6</f>
        <v>155</v>
      </c>
      <c r="F6" s="73"/>
    </row>
    <row r="7" spans="1:6" x14ac:dyDescent="0.25">
      <c r="A7" s="73"/>
      <c r="B7" s="73" t="s">
        <v>185</v>
      </c>
      <c r="C7" s="73">
        <v>267</v>
      </c>
      <c r="D7" s="73">
        <v>176</v>
      </c>
      <c r="E7" s="73">
        <f t="shared" si="0"/>
        <v>91</v>
      </c>
      <c r="F7" s="73"/>
    </row>
    <row r="8" spans="1:6" x14ac:dyDescent="0.25">
      <c r="A8" s="73"/>
      <c r="B8" s="73" t="s">
        <v>180</v>
      </c>
      <c r="C8" s="73">
        <f>SUM(C6:C7)</f>
        <v>522</v>
      </c>
      <c r="D8" s="73">
        <f>SUM(D6:D7)</f>
        <v>276</v>
      </c>
      <c r="E8" s="73">
        <f t="shared" si="0"/>
        <v>246</v>
      </c>
      <c r="F8" s="73">
        <f>+E8*Calculations!Annual_Days_of_Travel</f>
        <v>63960</v>
      </c>
    </row>
    <row r="9" spans="1:6" x14ac:dyDescent="0.25">
      <c r="A9" s="73">
        <v>2025</v>
      </c>
      <c r="B9" s="73" t="s">
        <v>184</v>
      </c>
      <c r="C9" s="73">
        <v>301</v>
      </c>
      <c r="D9" s="73">
        <v>169</v>
      </c>
      <c r="E9" s="73">
        <f t="shared" si="0"/>
        <v>132</v>
      </c>
      <c r="F9" s="73"/>
    </row>
    <row r="10" spans="1:6" x14ac:dyDescent="0.25">
      <c r="A10" s="73"/>
      <c r="B10" s="73" t="s">
        <v>185</v>
      </c>
      <c r="C10" s="73">
        <v>434</v>
      </c>
      <c r="D10" s="73">
        <v>307</v>
      </c>
      <c r="E10" s="73">
        <f t="shared" si="0"/>
        <v>127</v>
      </c>
      <c r="F10" s="73"/>
    </row>
    <row r="11" spans="1:6" x14ac:dyDescent="0.25">
      <c r="A11" s="73"/>
      <c r="B11" s="73" t="s">
        <v>180</v>
      </c>
      <c r="C11" s="73">
        <f>SUM(C9:C10)</f>
        <v>735</v>
      </c>
      <c r="D11" s="73">
        <f>SUM(D9:D10)</f>
        <v>476</v>
      </c>
      <c r="E11" s="73">
        <f t="shared" si="0"/>
        <v>259</v>
      </c>
      <c r="F11" s="73">
        <f>+E11*Calculations!Annual_Days_of_Travel</f>
        <v>67340</v>
      </c>
    </row>
    <row r="12" spans="1:6" x14ac:dyDescent="0.25">
      <c r="A12" s="73">
        <v>2040</v>
      </c>
      <c r="B12" s="73" t="s">
        <v>184</v>
      </c>
      <c r="C12" s="73">
        <v>478</v>
      </c>
      <c r="D12" s="73">
        <v>290</v>
      </c>
      <c r="E12" s="73">
        <f t="shared" si="0"/>
        <v>188</v>
      </c>
      <c r="F12" s="73"/>
    </row>
    <row r="13" spans="1:6" x14ac:dyDescent="0.25">
      <c r="A13" s="73"/>
      <c r="B13" s="73" t="s">
        <v>185</v>
      </c>
      <c r="C13" s="73">
        <v>752</v>
      </c>
      <c r="D13" s="73">
        <v>631</v>
      </c>
      <c r="E13" s="73">
        <f t="shared" si="0"/>
        <v>121</v>
      </c>
      <c r="F13" s="73"/>
    </row>
    <row r="14" spans="1:6" x14ac:dyDescent="0.25">
      <c r="A14" s="73"/>
      <c r="B14" s="73" t="s">
        <v>180</v>
      </c>
      <c r="C14" s="73">
        <f>SUM(C12:C13)</f>
        <v>1230</v>
      </c>
      <c r="D14" s="73">
        <f>SUM(D12:D13)</f>
        <v>921</v>
      </c>
      <c r="E14" s="73">
        <f t="shared" si="0"/>
        <v>309</v>
      </c>
      <c r="F14" s="73">
        <f>+E14*Calculations!Annual_Days_of_Travel</f>
        <v>80340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C23" sqref="C23"/>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124</v>
      </c>
    </row>
    <row r="4" spans="2:3" x14ac:dyDescent="0.25">
      <c r="B4" s="4" t="s">
        <v>34</v>
      </c>
    </row>
    <row r="5" spans="2:3" x14ac:dyDescent="0.25">
      <c r="B5" s="46" t="s">
        <v>37</v>
      </c>
      <c r="C5" s="52">
        <v>2015</v>
      </c>
    </row>
    <row r="6" spans="2:3" x14ac:dyDescent="0.25">
      <c r="B6" s="46" t="s">
        <v>38</v>
      </c>
      <c r="C6" s="71" t="s">
        <v>92</v>
      </c>
    </row>
    <row r="7" spans="2:3" x14ac:dyDescent="0.25">
      <c r="B7" s="46" t="s">
        <v>126</v>
      </c>
      <c r="C7" s="53" t="s">
        <v>45</v>
      </c>
    </row>
    <row r="8" spans="2:3" x14ac:dyDescent="0.25">
      <c r="B8" s="46" t="s">
        <v>125</v>
      </c>
      <c r="C8" s="70">
        <f>'GDP Deflators'!P5-1</f>
        <v>2.0832073567924381E-2</v>
      </c>
    </row>
    <row r="9" spans="2:3" x14ac:dyDescent="0.25">
      <c r="B9" s="36"/>
      <c r="C9" s="37"/>
    </row>
    <row r="10" spans="2:3" x14ac:dyDescent="0.25">
      <c r="B10" s="38" t="s">
        <v>93</v>
      </c>
      <c r="C10" s="37"/>
    </row>
    <row r="11" spans="2:3" x14ac:dyDescent="0.25">
      <c r="B11" s="46" t="s">
        <v>94</v>
      </c>
      <c r="C11" s="76">
        <f>'Value of Statistical Life'!F10</f>
        <v>9587302.7263098899</v>
      </c>
    </row>
    <row r="12" spans="2:3" x14ac:dyDescent="0.25">
      <c r="B12" s="139" t="s">
        <v>112</v>
      </c>
      <c r="C12" s="140"/>
    </row>
    <row r="14" spans="2:3" x14ac:dyDescent="0.25">
      <c r="B14" s="38" t="s">
        <v>35</v>
      </c>
      <c r="C14" s="37"/>
    </row>
    <row r="15" spans="2:3" x14ac:dyDescent="0.25">
      <c r="B15" s="46" t="s">
        <v>84</v>
      </c>
      <c r="C15" s="51">
        <f>'Value of Travel Time'!D21</f>
        <v>16.100000000000001</v>
      </c>
    </row>
    <row r="16" spans="2:3" x14ac:dyDescent="0.25">
      <c r="B16" s="80" t="s">
        <v>122</v>
      </c>
      <c r="C16" s="81">
        <v>1.2E-2</v>
      </c>
    </row>
    <row r="18" spans="2:3" x14ac:dyDescent="0.25">
      <c r="B18" s="38" t="s">
        <v>36</v>
      </c>
    </row>
    <row r="19" spans="2:3" x14ac:dyDescent="0.25">
      <c r="B19" s="48" t="s">
        <v>86</v>
      </c>
      <c r="C19" s="49">
        <f>'Value of Emissions'!D4</f>
        <v>2083.1541467275511</v>
      </c>
    </row>
    <row r="20" spans="2:3" x14ac:dyDescent="0.25">
      <c r="B20" s="48" t="s">
        <v>87</v>
      </c>
      <c r="C20" s="49">
        <f>'Value of Emissions'!D5</f>
        <v>8208.6069103416321</v>
      </c>
    </row>
    <row r="21" spans="2:3" x14ac:dyDescent="0.25">
      <c r="B21" s="46" t="s">
        <v>49</v>
      </c>
      <c r="C21" s="50">
        <f>(0.267383+0.37942)/2</f>
        <v>0.32340150000000001</v>
      </c>
    </row>
    <row r="22" spans="2:3" x14ac:dyDescent="0.25">
      <c r="B22" s="46" t="s">
        <v>50</v>
      </c>
      <c r="C22" s="50">
        <f>(0.183428+0.198698)/2</f>
        <v>0.19106300000000001</v>
      </c>
    </row>
    <row r="23" spans="2:3" ht="63.75" x14ac:dyDescent="0.25">
      <c r="B23" s="46" t="s">
        <v>46</v>
      </c>
      <c r="C23" s="47" t="s">
        <v>47</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74</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75</v>
      </c>
      <c r="C8" t="s">
        <v>4</v>
      </c>
      <c r="D8" s="1">
        <v>101057</v>
      </c>
      <c r="E8" s="3">
        <f t="shared" si="0"/>
        <v>4.7104291232300871E-3</v>
      </c>
    </row>
    <row r="9" spans="2:8" x14ac:dyDescent="0.25">
      <c r="B9" t="s">
        <v>76</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127</v>
      </c>
    </row>
    <row r="17" spans="2:4" x14ac:dyDescent="0.25">
      <c r="C17" s="8" t="s">
        <v>66</v>
      </c>
      <c r="D17" s="8" t="s">
        <v>83</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Instructions</vt:lpstr>
      <vt:lpstr>ITS Delay Worksheet</vt:lpstr>
      <vt:lpstr>Emissions Reduction Worksheet</vt:lpstr>
      <vt:lpstr>Inputs &amp; Outputs</vt:lpstr>
      <vt:lpstr>Volume Projections</vt:lpstr>
      <vt:lpstr>Calculations</vt:lpstr>
      <vt:lpstr>Delay Calculations</vt:lpstr>
      <vt:lpstr>Assumed Values</vt:lpstr>
      <vt:lpstr>Value of Travel Time</vt:lpstr>
      <vt:lpstr>Value of Statistical Life</vt:lpstr>
      <vt:lpstr>Value of Emissions</vt:lpstr>
      <vt:lpstr>GDP Deflators</vt:lpstr>
      <vt:lpstr>_2018_Capacity</vt:lpstr>
      <vt:lpstr>_2018_Volume</vt:lpstr>
      <vt:lpstr>_2025_Capacity</vt:lpstr>
      <vt:lpstr>_2025_Volume</vt:lpstr>
      <vt:lpstr>_2040_Capacity</vt:lpstr>
      <vt:lpstr>_2040_Volume</vt:lpstr>
      <vt:lpstr>Calculations!Annual_Days_of_Travel</vt:lpstr>
      <vt:lpstr>Application_ID_Number</vt:lpstr>
      <vt:lpstr>Calculations!Base_Year</vt:lpstr>
      <vt:lpstr>Name</vt:lpstr>
      <vt:lpstr>'Assumed Values'!Print_Area</vt:lpstr>
      <vt:lpstr>'Emissions Reduction Worksheet'!Print_Area</vt:lpstr>
      <vt:lpstr>'Inputs &amp; Outputs'!Print_Area</vt:lpstr>
      <vt:lpstr>Instructions!Print_Area</vt:lpstr>
      <vt:lpstr>'ITS Delay Worksheet'!Print_Area</vt:lpstr>
      <vt:lpstr>Calculations!Real_wage_growth_rate</vt:lpstr>
      <vt:lpstr>Sponsor_ID_Number__CSJ__etc.</vt:lpstr>
      <vt:lpstr>Calculations!Value_of_Travel_Time__VoTT___2015</vt:lpstr>
      <vt:lpstr>Calculations!Vehicle_Occupancy</vt:lpstr>
      <vt:lpstr>Year_Open_to_Traffic?</vt:lpstr>
      <vt:lpstr>Calculations!Years_to_include_in_BCA_Analysis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Ron Jenson</cp:lastModifiedBy>
  <cp:lastPrinted>2014-11-11T16:55:33Z</cp:lastPrinted>
  <dcterms:created xsi:type="dcterms:W3CDTF">2012-07-25T15:48:32Z</dcterms:created>
  <dcterms:modified xsi:type="dcterms:W3CDTF">2015-01-12T22:38:41Z</dcterms:modified>
</cp:coreProperties>
</file>