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 yWindow="105" windowWidth="20625" windowHeight="10260" tabRatio="76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45621"/>
</workbook>
</file>

<file path=xl/calcChain.xml><?xml version="1.0" encoding="utf-8"?>
<calcChain xmlns="http://schemas.openxmlformats.org/spreadsheetml/2006/main">
  <c r="F5" i="9" l="1"/>
  <c r="F6" i="9"/>
  <c r="F7" i="9"/>
  <c r="F8" i="9"/>
  <c r="F9" i="9"/>
  <c r="F10" i="9"/>
  <c r="F11" i="9"/>
  <c r="H11" i="11"/>
  <c r="B5" i="12" l="1"/>
  <c r="I24" i="9"/>
  <c r="H24" i="9"/>
  <c r="G24" i="9"/>
  <c r="F24" i="9"/>
  <c r="E24" i="9"/>
  <c r="D24" i="9"/>
  <c r="E2" i="14" l="1"/>
  <c r="D2" i="14" s="1"/>
  <c r="C2" i="14" s="1"/>
  <c r="C4" i="14" s="1"/>
  <c r="E16" i="12"/>
  <c r="E22" i="12" s="1"/>
  <c r="H12" i="11"/>
  <c r="F16" i="12" s="1"/>
  <c r="F18" i="12" s="1"/>
  <c r="H13" i="11"/>
  <c r="G16" i="12" s="1"/>
  <c r="G21" i="12" s="1"/>
  <c r="H14" i="11"/>
  <c r="H16" i="12" s="1"/>
  <c r="H17" i="12" s="1"/>
  <c r="H15" i="11"/>
  <c r="I16" i="12" s="1"/>
  <c r="I17" i="12" s="1"/>
  <c r="H10" i="11"/>
  <c r="D16" i="12" s="1"/>
  <c r="D18" i="12" s="1"/>
  <c r="E9" i="12"/>
  <c r="E8" i="12"/>
  <c r="E7" i="12"/>
  <c r="O4" i="12" s="1"/>
  <c r="P4" i="12" s="1"/>
  <c r="E5" i="12"/>
  <c r="D19" i="1"/>
  <c r="D20" i="1"/>
  <c r="D18" i="1"/>
  <c r="E4" i="12"/>
  <c r="R4" i="12"/>
  <c r="E6" i="12"/>
  <c r="C6" i="14" l="1"/>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s="1"/>
  <c r="O5" i="12" l="1"/>
  <c r="P5" i="12" s="1"/>
  <c r="J18" i="12"/>
  <c r="J20" i="12"/>
  <c r="J19" i="12"/>
  <c r="J23" i="12"/>
  <c r="J17" i="12"/>
  <c r="J22" i="12"/>
  <c r="J21" i="12"/>
  <c r="M6" i="12"/>
  <c r="R6" i="12" s="1"/>
  <c r="O6" i="12" l="1"/>
  <c r="P6" i="12" s="1"/>
  <c r="M7" i="12"/>
  <c r="R7" i="12" s="1"/>
  <c r="C21" i="2"/>
  <c r="B18" i="5"/>
  <c r="E17" i="5" s="1"/>
  <c r="C22" i="2"/>
  <c r="B19" i="5" s="1"/>
  <c r="E18" i="5" s="1"/>
  <c r="G4" i="7"/>
  <c r="G4" i="5"/>
  <c r="G5" i="5" s="1"/>
  <c r="G6" i="5" s="1"/>
  <c r="G7" i="5" s="1"/>
  <c r="G8" i="5" s="1"/>
  <c r="G9" i="5" s="1"/>
  <c r="G10" i="5" s="1"/>
  <c r="G11" i="5" s="1"/>
  <c r="G12" i="5" s="1"/>
  <c r="G13" i="5" s="1"/>
  <c r="G14" i="5" s="1"/>
  <c r="H4" i="7"/>
  <c r="I4" i="7"/>
  <c r="B18" i="7"/>
  <c r="G5" i="7"/>
  <c r="H5" i="7" s="1"/>
  <c r="B17" i="7"/>
  <c r="B16" i="7"/>
  <c r="E17" i="7"/>
  <c r="O6" i="4"/>
  <c r="K6" i="4"/>
  <c r="I6" i="4"/>
  <c r="B5" i="4"/>
  <c r="C5" i="4"/>
  <c r="D5" i="4"/>
  <c r="E5" i="4"/>
  <c r="F5" i="4"/>
  <c r="P5" i="4" s="1"/>
  <c r="C8" i="2" s="1"/>
  <c r="G5" i="4"/>
  <c r="H5" i="4"/>
  <c r="B6" i="4"/>
  <c r="C6" i="4"/>
  <c r="D6" i="4"/>
  <c r="E6" i="4"/>
  <c r="F6" i="4"/>
  <c r="G6" i="4"/>
  <c r="H6" i="4"/>
  <c r="J5" i="4"/>
  <c r="K5" i="4"/>
  <c r="L5" i="4"/>
  <c r="M5" i="4"/>
  <c r="N5" i="4"/>
  <c r="I5" i="4"/>
  <c r="J6" i="4"/>
  <c r="L6" i="4"/>
  <c r="M6" i="4"/>
  <c r="N6" i="4"/>
  <c r="D12" i="1"/>
  <c r="E11" i="1"/>
  <c r="E8" i="1"/>
  <c r="E9" i="1"/>
  <c r="H6" i="1"/>
  <c r="E12" i="1"/>
  <c r="E5" i="1"/>
  <c r="H4" i="1" s="1"/>
  <c r="E4" i="1"/>
  <c r="H5" i="1" s="1"/>
  <c r="E6" i="1"/>
  <c r="E7" i="1"/>
  <c r="E10" i="1"/>
  <c r="H7" i="1" l="1"/>
  <c r="C21" i="1"/>
  <c r="J14" i="5"/>
  <c r="G15" i="5"/>
  <c r="H14" i="5"/>
  <c r="H10" i="5"/>
  <c r="G6" i="7"/>
  <c r="I5" i="7"/>
  <c r="O7" i="12"/>
  <c r="P7" i="12" s="1"/>
  <c r="D5" i="6"/>
  <c r="C20" i="2" s="1"/>
  <c r="B21" i="5" s="1"/>
  <c r="Q4" i="12"/>
  <c r="C11" i="2"/>
  <c r="M8" i="12"/>
  <c r="R8" i="12" s="1"/>
  <c r="H6" i="5"/>
  <c r="H11" i="5"/>
  <c r="D4" i="6"/>
  <c r="C19" i="2" s="1"/>
  <c r="B20" i="5" s="1"/>
  <c r="J5" i="5"/>
  <c r="J13" i="5"/>
  <c r="J11" i="5"/>
  <c r="J10" i="5"/>
  <c r="J9" i="5"/>
  <c r="J4" i="5"/>
  <c r="J12" i="5"/>
  <c r="J8" i="5"/>
  <c r="J7" i="5"/>
  <c r="J6" i="5"/>
  <c r="H12" i="5"/>
  <c r="H4" i="5"/>
  <c r="H13" i="5"/>
  <c r="H5" i="5"/>
  <c r="D21" i="1"/>
  <c r="C15" i="2" s="1"/>
  <c r="H7" i="5"/>
  <c r="H8" i="5"/>
  <c r="H9" i="5"/>
  <c r="S4" i="12" l="1"/>
  <c r="Q5" i="12"/>
  <c r="S5" i="12" s="1"/>
  <c r="I6" i="7"/>
  <c r="G7" i="7"/>
  <c r="H6" i="7"/>
  <c r="K4" i="5"/>
  <c r="H15" i="5"/>
  <c r="J15" i="5"/>
  <c r="G16" i="5"/>
  <c r="O8" i="12"/>
  <c r="O9" i="12" s="1"/>
  <c r="K10" i="5"/>
  <c r="K12" i="5"/>
  <c r="K15" i="5"/>
  <c r="K8" i="5"/>
  <c r="K14" i="5"/>
  <c r="K7" i="5"/>
  <c r="K5" i="5"/>
  <c r="K6" i="5"/>
  <c r="K13" i="5"/>
  <c r="K11" i="5"/>
  <c r="K9" i="5"/>
  <c r="I13" i="5"/>
  <c r="M9" i="12"/>
  <c r="R9" i="12" s="1"/>
  <c r="I7" i="5"/>
  <c r="I8" i="5"/>
  <c r="I10" i="5"/>
  <c r="I9" i="5"/>
  <c r="I14" i="5"/>
  <c r="I15" i="5"/>
  <c r="I12" i="5"/>
  <c r="I5" i="5"/>
  <c r="I6" i="5"/>
  <c r="I11" i="5"/>
  <c r="B19" i="7"/>
  <c r="I4" i="5"/>
  <c r="Q6" i="12" l="1"/>
  <c r="S6" i="12" s="1"/>
  <c r="G8" i="7"/>
  <c r="H7" i="7"/>
  <c r="I7" i="7"/>
  <c r="P8" i="12"/>
  <c r="H16" i="5"/>
  <c r="G17" i="5"/>
  <c r="J16" i="5"/>
  <c r="K16" i="5" s="1"/>
  <c r="O10" i="12"/>
  <c r="P9" i="12"/>
  <c r="M10" i="12"/>
  <c r="J7" i="7"/>
  <c r="J6" i="7"/>
  <c r="J5" i="7"/>
  <c r="J4" i="7"/>
  <c r="Q7" i="12" l="1"/>
  <c r="S7" i="12" s="1"/>
  <c r="G18" i="5"/>
  <c r="H17" i="5"/>
  <c r="I17" i="5" s="1"/>
  <c r="J17" i="5"/>
  <c r="K17" i="5" s="1"/>
  <c r="I16" i="5"/>
  <c r="H8" i="7"/>
  <c r="I8" i="7"/>
  <c r="J8" i="7" s="1"/>
  <c r="G9" i="7"/>
  <c r="R10" i="12"/>
  <c r="O11" i="12"/>
  <c r="P10" i="12"/>
  <c r="M11" i="12"/>
  <c r="B11" i="7"/>
  <c r="B12" i="7" s="1"/>
  <c r="Q8" i="12" l="1"/>
  <c r="S8" i="12" s="1"/>
  <c r="H9" i="7"/>
  <c r="I9" i="7"/>
  <c r="J9" i="7" s="1"/>
  <c r="G10" i="7"/>
  <c r="G19" i="5"/>
  <c r="J18" i="5"/>
  <c r="K18" i="5" s="1"/>
  <c r="H18" i="5"/>
  <c r="R11" i="12"/>
  <c r="P11" i="12"/>
  <c r="O12" i="12"/>
  <c r="M12" i="12"/>
  <c r="Q9" i="12" l="1"/>
  <c r="S9" i="12" s="1"/>
  <c r="G11" i="7"/>
  <c r="H10" i="7"/>
  <c r="I10" i="7" s="1"/>
  <c r="J10" i="7" s="1"/>
  <c r="I18" i="5"/>
  <c r="G20" i="5"/>
  <c r="H19" i="5"/>
  <c r="I19" i="5" s="1"/>
  <c r="J19" i="5"/>
  <c r="K19" i="5" s="1"/>
  <c r="R12" i="12"/>
  <c r="O13" i="12"/>
  <c r="P12" i="12"/>
  <c r="M13" i="12"/>
  <c r="Q10" i="12" l="1"/>
  <c r="S10" i="12" s="1"/>
  <c r="H11" i="7"/>
  <c r="G12" i="7"/>
  <c r="I11" i="7"/>
  <c r="J11" i="7" s="1"/>
  <c r="H20" i="5"/>
  <c r="J20" i="5"/>
  <c r="K20" i="5" s="1"/>
  <c r="G21" i="5"/>
  <c r="R13" i="12"/>
  <c r="O14" i="12"/>
  <c r="P13" i="12"/>
  <c r="M14" i="12"/>
  <c r="Q11" i="12" l="1"/>
  <c r="S11" i="12" s="1"/>
  <c r="H12" i="7"/>
  <c r="I12" i="7" s="1"/>
  <c r="J12" i="7" s="1"/>
  <c r="G13" i="7"/>
  <c r="J21" i="5"/>
  <c r="K21" i="5" s="1"/>
  <c r="G22" i="5"/>
  <c r="H21" i="5"/>
  <c r="I21" i="5" s="1"/>
  <c r="I20" i="5"/>
  <c r="R14" i="12"/>
  <c r="O15" i="12"/>
  <c r="P14" i="12"/>
  <c r="M15" i="12"/>
  <c r="Q12" i="12" l="1"/>
  <c r="Q13" i="12" s="1"/>
  <c r="S13" i="12" s="1"/>
  <c r="J22" i="5"/>
  <c r="K22" i="5" s="1"/>
  <c r="H22" i="5"/>
  <c r="G23" i="5"/>
  <c r="H13" i="7"/>
  <c r="I13" i="7" s="1"/>
  <c r="J13" i="7" s="1"/>
  <c r="G14" i="7"/>
  <c r="R15" i="12"/>
  <c r="O16" i="12"/>
  <c r="P15" i="12"/>
  <c r="M16" i="12"/>
  <c r="Q14" i="12" l="1"/>
  <c r="S14" i="12" s="1"/>
  <c r="S12" i="12"/>
  <c r="G15" i="7"/>
  <c r="H14" i="7"/>
  <c r="I14" i="7" s="1"/>
  <c r="J14" i="7" s="1"/>
  <c r="I22" i="5"/>
  <c r="H23" i="5"/>
  <c r="I23" i="5" s="1"/>
  <c r="J23" i="5"/>
  <c r="K23" i="5" s="1"/>
  <c r="G24" i="5"/>
  <c r="R16" i="12"/>
  <c r="O17" i="12"/>
  <c r="P16" i="12"/>
  <c r="M17" i="12"/>
  <c r="Q15" i="12" l="1"/>
  <c r="S15" i="12" s="1"/>
  <c r="G16" i="7"/>
  <c r="H15" i="7"/>
  <c r="I15" i="7" s="1"/>
  <c r="J15" i="7" s="1"/>
  <c r="H24" i="5"/>
  <c r="I24" i="5" s="1"/>
  <c r="G25" i="5"/>
  <c r="J24" i="5"/>
  <c r="K24" i="5" s="1"/>
  <c r="B11" i="5" s="1"/>
  <c r="B12" i="5" s="1"/>
  <c r="R17" i="12"/>
  <c r="O18" i="12"/>
  <c r="P17" i="12"/>
  <c r="M18" i="12"/>
  <c r="Q16" i="12" l="1"/>
  <c r="S16" i="12" s="1"/>
  <c r="G26" i="5"/>
  <c r="H25" i="5"/>
  <c r="I25" i="5" s="1"/>
  <c r="J25" i="5"/>
  <c r="K25" i="5" s="1"/>
  <c r="H16" i="7"/>
  <c r="I16" i="7"/>
  <c r="J16" i="7" s="1"/>
  <c r="G17" i="7"/>
  <c r="R18" i="12"/>
  <c r="O19" i="12"/>
  <c r="P18" i="12"/>
  <c r="M19" i="12"/>
  <c r="Q17" i="12" l="1"/>
  <c r="S17" i="12" s="1"/>
  <c r="H17" i="7"/>
  <c r="I17" i="7" s="1"/>
  <c r="J17" i="7" s="1"/>
  <c r="G18" i="7"/>
  <c r="G27" i="5"/>
  <c r="H26" i="5"/>
  <c r="I26" i="5" s="1"/>
  <c r="J26" i="5"/>
  <c r="K26" i="5" s="1"/>
  <c r="R19" i="12"/>
  <c r="O20" i="12"/>
  <c r="P19" i="12"/>
  <c r="M20" i="12"/>
  <c r="Q18" i="12" l="1"/>
  <c r="S18" i="12" s="1"/>
  <c r="G28" i="5"/>
  <c r="H27" i="5"/>
  <c r="I27" i="5" s="1"/>
  <c r="J27" i="5"/>
  <c r="K27" i="5" s="1"/>
  <c r="G19" i="7"/>
  <c r="H18" i="7"/>
  <c r="I18" i="7" s="1"/>
  <c r="J18" i="7" s="1"/>
  <c r="R20" i="12"/>
  <c r="O21" i="12"/>
  <c r="P20" i="12"/>
  <c r="M21" i="12"/>
  <c r="Q19" i="12" l="1"/>
  <c r="S19" i="12" s="1"/>
  <c r="H19" i="7"/>
  <c r="G20" i="7"/>
  <c r="I19" i="7"/>
  <c r="J19" i="7" s="1"/>
  <c r="H28" i="5"/>
  <c r="I28" i="5" s="1"/>
  <c r="J28" i="5"/>
  <c r="K28" i="5" s="1"/>
  <c r="G29" i="5"/>
  <c r="R21" i="12"/>
  <c r="O22" i="12"/>
  <c r="P21" i="12"/>
  <c r="M22" i="12"/>
  <c r="Q20" i="12" l="1"/>
  <c r="S20" i="12" s="1"/>
  <c r="J29" i="5"/>
  <c r="K29" i="5" s="1"/>
  <c r="H29" i="5"/>
  <c r="H20" i="7"/>
  <c r="I20" i="7"/>
  <c r="J20" i="7" s="1"/>
  <c r="G21" i="7"/>
  <c r="R22" i="12"/>
  <c r="O23" i="12"/>
  <c r="P22" i="12"/>
  <c r="M23" i="12"/>
  <c r="Q21" i="12" l="1"/>
  <c r="S21" i="12" s="1"/>
  <c r="I29" i="5"/>
  <c r="B13" i="5"/>
  <c r="H21" i="7"/>
  <c r="I21" i="7"/>
  <c r="J21" i="7" s="1"/>
  <c r="G22" i="7"/>
  <c r="R23" i="12"/>
  <c r="O24" i="12"/>
  <c r="P23" i="12"/>
  <c r="M24" i="12"/>
  <c r="Q22" i="12" l="1"/>
  <c r="Q23" i="12" s="1"/>
  <c r="S23" i="12" s="1"/>
  <c r="G23" i="7"/>
  <c r="H22" i="7"/>
  <c r="I22" i="7" s="1"/>
  <c r="J22" i="7" s="1"/>
  <c r="R24" i="12"/>
  <c r="O25" i="12"/>
  <c r="P24" i="12"/>
  <c r="M25" i="12"/>
  <c r="S22" i="12" l="1"/>
  <c r="Q24" i="12"/>
  <c r="S24" i="12" s="1"/>
  <c r="G24" i="7"/>
  <c r="H23" i="7"/>
  <c r="I23" i="7" s="1"/>
  <c r="J23" i="7" s="1"/>
  <c r="R25" i="12"/>
  <c r="O26" i="12"/>
  <c r="P25" i="12"/>
  <c r="M26" i="12"/>
  <c r="Q25" i="12" l="1"/>
  <c r="S25" i="12" s="1"/>
  <c r="H24" i="7"/>
  <c r="I24" i="7" s="1"/>
  <c r="J24" i="7" s="1"/>
  <c r="G25" i="7"/>
  <c r="R26" i="12"/>
  <c r="O27" i="12"/>
  <c r="P26" i="12"/>
  <c r="M27" i="12"/>
  <c r="Q26" i="12" l="1"/>
  <c r="S26" i="12" s="1"/>
  <c r="H25" i="7"/>
  <c r="I25" i="7"/>
  <c r="J25" i="7" s="1"/>
  <c r="G26" i="7"/>
  <c r="R27" i="12"/>
  <c r="O28" i="12"/>
  <c r="P27" i="12"/>
  <c r="M28" i="12"/>
  <c r="Q27" i="12" l="1"/>
  <c r="S27" i="12" s="1"/>
  <c r="G27" i="7"/>
  <c r="H26" i="7"/>
  <c r="I26" i="7" s="1"/>
  <c r="J26" i="7" s="1"/>
  <c r="R28" i="12"/>
  <c r="O29" i="12"/>
  <c r="P28" i="12"/>
  <c r="M29" i="12"/>
  <c r="Q28" i="12" l="1"/>
  <c r="S28" i="12" s="1"/>
  <c r="H27" i="7"/>
  <c r="G28" i="7"/>
  <c r="I27" i="7"/>
  <c r="J27" i="7" s="1"/>
  <c r="P29" i="12"/>
  <c r="O30" i="12"/>
  <c r="M30" i="12"/>
  <c r="R29" i="12"/>
  <c r="Q29" i="12" l="1"/>
  <c r="S29" i="12" s="1"/>
  <c r="G29" i="7"/>
  <c r="H28" i="7"/>
  <c r="I28" i="7" s="1"/>
  <c r="J28" i="7" s="1"/>
  <c r="P30" i="12"/>
  <c r="O31" i="12"/>
  <c r="R30" i="12"/>
  <c r="M31" i="12"/>
  <c r="M32" i="12" s="1"/>
  <c r="Q30" i="12" l="1"/>
  <c r="S30" i="12" s="1"/>
  <c r="H29" i="7"/>
  <c r="I29" i="7"/>
  <c r="J29" i="7" s="1"/>
  <c r="M33" i="12"/>
  <c r="R32" i="12"/>
  <c r="P31" i="12"/>
  <c r="O32" i="12"/>
  <c r="R31" i="12"/>
  <c r="Q31" i="12" l="1"/>
  <c r="S31" i="12" s="1"/>
  <c r="M34" i="12"/>
  <c r="R33" i="12"/>
  <c r="P32" i="12"/>
  <c r="O33" i="12"/>
  <c r="Q32" i="12" l="1"/>
  <c r="S32" i="12" s="1"/>
  <c r="R34" i="12"/>
  <c r="M35" i="12"/>
  <c r="P33" i="12"/>
  <c r="O34" i="12"/>
  <c r="Q33" i="12" l="1"/>
  <c r="S33" i="12" s="1"/>
  <c r="M36" i="12"/>
  <c r="R35" i="12"/>
  <c r="P34" i="12"/>
  <c r="O35" i="12"/>
  <c r="Q34" i="12" l="1"/>
  <c r="S34" i="12" s="1"/>
  <c r="R36" i="12"/>
  <c r="P35" i="12"/>
  <c r="O36" i="12"/>
  <c r="P36" i="12" s="1"/>
  <c r="Q35" i="12" l="1"/>
  <c r="Q36" i="12" s="1"/>
  <c r="S36" i="12" s="1"/>
  <c r="S35" i="12" l="1"/>
  <c r="B30" i="11" s="1"/>
  <c r="B29" i="11" l="1"/>
</calcChain>
</file>

<file path=xl/sharedStrings.xml><?xml version="1.0" encoding="utf-8"?>
<sst xmlns="http://schemas.openxmlformats.org/spreadsheetml/2006/main" count="1497" uniqueCount="366">
  <si>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</si>
  <si>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</si>
  <si>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</si>
  <si>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</si>
  <si>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</si>
  <si>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</si>
  <si>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</si>
  <si>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</si>
  <si>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</si>
  <si>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</si>
  <si>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</si>
  <si>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</si>
  <si>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</si>
  <si>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</si>
  <si>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</si>
  <si>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</si>
  <si>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</si>
  <si>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</si>
  <si>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</si>
  <si>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</si>
  <si>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</si>
  <si>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</si>
  <si>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</si>
  <si>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</si>
  <si>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</si>
  <si>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</si>
  <si>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</si>
  <si>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</si>
  <si>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</si>
  <si>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</si>
  <si>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</si>
  <si>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</si>
  <si>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</si>
  <si>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</si>
  <si>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</si>
  <si>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</si>
  <si>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</si>
  <si>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</si>
  <si>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</si>
  <si>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</si>
  <si>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</si>
  <si>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</si>
  <si>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</si>
  <si>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</si>
  <si>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</si>
  <si>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</si>
  <si>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</si>
  <si>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</si>
  <si>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</si>
  <si>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</si>
  <si>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</si>
  <si>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</si>
  <si>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</si>
  <si>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</si>
  <si>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</si>
  <si>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</si>
  <si>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</si>
  <si>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</si>
  <si>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</si>
  <si>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</si>
  <si>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</si>
  <si>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</si>
  <si>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</si>
  <si>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</si>
  <si>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</si>
  <si>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</si>
  <si>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</si>
  <si>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</si>
  <si>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</si>
  <si>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</si>
  <si>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</si>
  <si>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</si>
  <si>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</si>
  <si>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</si>
  <si>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</si>
  <si>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</si>
  <si>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</si>
  <si>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</si>
  <si>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</si>
  <si>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</si>
  <si>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</si>
  <si>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</si>
  <si>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</si>
  <si>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</si>
  <si>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</si>
  <si>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</si>
  <si>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</si>
  <si>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</si>
  <si>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</si>
  <si>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</si>
  <si>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</si>
  <si>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</si>
  <si>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</si>
  <si>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</si>
  <si>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</si>
  <si>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</si>
  <si>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</si>
  <si>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</si>
  <si>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</si>
  <si>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</si>
  <si>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</si>
  <si>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</si>
  <si>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</si>
  <si>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</si>
  <si>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</si>
  <si>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</si>
  <si>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</si>
  <si>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</si>
  <si>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</si>
  <si>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</si>
  <si>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</si>
  <si>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</si>
  <si>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</si>
  <si>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</si>
  <si>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</si>
  <si>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</si>
  <si>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</si>
  <si>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</si>
  <si>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</si>
  <si>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</si>
  <si>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</si>
  <si>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</si>
  <si>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</si>
  <si>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</si>
  <si>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</si>
  <si>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</si>
  <si>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</si>
  <si>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</si>
  <si>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</si>
  <si>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</si>
  <si>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</si>
  <si>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</si>
  <si>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</si>
  <si>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</si>
  <si>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</si>
  <si>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</si>
  <si>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</si>
  <si>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</si>
  <si>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</si>
  <si>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</si>
  <si>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</si>
  <si>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</si>
  <si>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</si>
  <si>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</si>
  <si>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</si>
  <si>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</si>
  <si>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Tot_Injry_Cnt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</si>
  <si>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</si>
  <si>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</si>
  <si>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</si>
  <si>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</si>
  <si>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</si>
  <si>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</si>
  <si>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</si>
  <si>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</si>
  <si>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</si>
  <si>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</si>
  <si>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</si>
  <si>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</si>
  <si>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</si>
  <si>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</si>
  <si>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</si>
  <si>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</si>
  <si>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</si>
  <si>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</si>
  <si>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</si>
  <si>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</si>
  <si>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</si>
  <si>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</si>
  <si>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</si>
  <si>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</si>
  <si>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</si>
  <si>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</si>
  <si>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</si>
  <si>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</si>
  <si>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</si>
  <si>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</si>
  <si>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</si>
  <si>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</si>
  <si>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</si>
  <si>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</si>
  <si>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</si>
  <si>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</si>
  <si>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</si>
  <si>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</si>
  <si>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</si>
  <si>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</si>
  <si>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</si>
  <si>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</si>
  <si>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</si>
  <si>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</si>
  <si>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</si>
  <si>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</si>
  <si>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</si>
  <si>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</si>
  <si>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</si>
  <si>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</si>
  <si>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</si>
  <si>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</si>
  <si>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</si>
  <si>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</si>
  <si>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</si>
  <si>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</si>
  <si>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</si>
  <si>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</si>
  <si>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</si>
  <si>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</si>
  <si>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</si>
  <si>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</si>
  <si>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</si>
  <si>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</si>
  <si>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</si>
  <si>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</si>
  <si>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</si>
  <si>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</si>
  <si>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</si>
  <si>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</si>
  <si>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</si>
  <si>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</si>
  <si>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</si>
  <si>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</si>
  <si>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</si>
  <si>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</si>
  <si>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</si>
  <si>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</si>
  <si>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</si>
  <si>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</si>
  <si>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</si>
  <si>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</si>
  <si>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</si>
  <si>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</si>
  <si>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</si>
  <si>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</si>
  <si>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</si>
  <si>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</si>
  <si>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</si>
  <si>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</si>
  <si>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</si>
  <si>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</si>
  <si>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</si>
  <si>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</si>
  <si>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</si>
  <si>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</si>
  <si>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</si>
  <si>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</si>
  <si>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</si>
  <si>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</si>
  <si>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</si>
  <si>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</si>
  <si>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</si>
  <si>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</si>
  <si>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</si>
  <si>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</si>
  <si>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</si>
  <si>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</si>
  <si>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</si>
  <si>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</si>
  <si>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</si>
  <si>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</si>
  <si>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</si>
  <si>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</si>
  <si>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</si>
  <si>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</si>
  <si>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</si>
  <si>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</si>
  <si>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</si>
  <si>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</si>
  <si>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</si>
  <si>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</si>
  <si>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</si>
  <si>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</si>
  <si>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</si>
  <si>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</si>
  <si>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</si>
  <si>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</si>
  <si>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</si>
  <si>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</si>
  <si>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</si>
  <si>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</si>
  <si>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</si>
  <si>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</si>
  <si>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</si>
  <si>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</si>
  <si>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</si>
  <si>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</si>
  <si>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</si>
  <si>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</si>
  <si>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</si>
  <si>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</si>
  <si>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</si>
  <si>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</si>
  <si>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</si>
  <si>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</si>
  <si>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</si>
  <si>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</si>
  <si>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</si>
  <si>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</si>
  <si>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</si>
  <si>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</si>
  <si>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</si>
  <si>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</si>
  <si>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</si>
  <si>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</si>
  <si>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</si>
  <si>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</si>
  <si>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</si>
  <si>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</si>
  <si>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</si>
  <si>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</si>
  <si>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</si>
  <si>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</si>
  <si>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</si>
  <si>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</si>
  <si>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</si>
  <si>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</si>
  <si>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</si>
  <si>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</si>
  <si>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</si>
  <si>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</si>
  <si>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</si>
  <si>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</si>
  <si>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CR 101</t>
  </si>
  <si>
    <t>N/A</t>
  </si>
  <si>
    <t>NOT REPORTED</t>
  </si>
  <si>
    <t>ALLEN</t>
  </si>
  <si>
    <t>BAILEY RD</t>
  </si>
  <si>
    <t>UNKNOWN</t>
  </si>
  <si>
    <t>Sun</t>
  </si>
  <si>
    <t>1210-0210</t>
  </si>
  <si>
    <t>101C</t>
  </si>
  <si>
    <t>ALLEN RD</t>
  </si>
  <si>
    <t>CR0101</t>
  </si>
  <si>
    <t>CR101C</t>
  </si>
  <si>
    <t>12-09-0314</t>
  </si>
  <si>
    <t>KENNEDY</t>
  </si>
  <si>
    <t>DR</t>
  </si>
  <si>
    <t>Tue</t>
  </si>
  <si>
    <t>11-003519</t>
  </si>
  <si>
    <t>BAILEY</t>
  </si>
  <si>
    <t>MANVEL</t>
  </si>
  <si>
    <t>FM</t>
  </si>
  <si>
    <t>FM1128</t>
  </si>
  <si>
    <t>Wed</t>
  </si>
  <si>
    <t>10-004431</t>
  </si>
  <si>
    <t>11-009716</t>
  </si>
  <si>
    <t>11-008697</t>
  </si>
  <si>
    <t>10-007212</t>
  </si>
  <si>
    <t>Thu</t>
  </si>
  <si>
    <t>OLD CHOCOLATE BAYOU RD</t>
  </si>
  <si>
    <t>Fri</t>
  </si>
  <si>
    <t>1209-0445</t>
  </si>
  <si>
    <t>BAILEY AVE</t>
  </si>
  <si>
    <t>CR0090</t>
  </si>
  <si>
    <t>1307-0191</t>
  </si>
  <si>
    <t>F</t>
  </si>
  <si>
    <t>B</t>
  </si>
  <si>
    <t>GLENN LN</t>
  </si>
  <si>
    <t>MASTERS RD</t>
  </si>
  <si>
    <t>NA</t>
  </si>
  <si>
    <t>OLD CHOCOLATE BAYOU</t>
  </si>
  <si>
    <t>10-009235</t>
  </si>
  <si>
    <t>10-006943</t>
  </si>
  <si>
    <t>11-002237</t>
  </si>
  <si>
    <t>12-005464</t>
  </si>
  <si>
    <t>HOOKS RD</t>
  </si>
  <si>
    <t>FM0518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</si>
</sst>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9"/>
      <color rgb="FF000000"/>
      <name val="Calibri"/>
      <family val="2"/>
    </font>
    <font>
      <b/>
      <sz val="9"/>
      <color rgb="FF000000"/>
      <name val="Calibri"/>
      <family val="2"/>
    </font>
    <font>
      <b/>
      <sz val="9"/>
      <color rgb="FFFF0000"/>
      <name val="Calibri"/>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24">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18" fontId="0" fillId="0" borderId="0" xfId="0" applyNumberFormat="1"/>
    <xf numFmtId="14" fontId="0" fillId="0" borderId="0" xfId="0" applyNumberFormat="1"/>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3" fontId="0" fillId="18" borderId="1" xfId="0" applyNumberFormat="1" applyFill="1" applyBorder="1" applyProtection="1">
      <protection locked="0"/>
    </xf>
    <xf numFmtId="0" fontId="2" fillId="16" borderId="2" xfId="0" applyFont="1" applyFill="1" applyBorder="1"/>
    <xf numFmtId="0" fontId="0" fillId="16" borderId="1" xfId="0" applyFill="1" applyBorder="1"/>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5</xdr:row>
          <xdr:rowOff>28575</xdr:rowOff>
        </xdr:from>
        <xdr:to>
          <xdr:col>5</xdr:col>
          <xdr:colOff>0</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19050</xdr:rowOff>
        </xdr:from>
        <xdr:to>
          <xdr:col>5</xdr:col>
          <xdr:colOff>0</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30" zoomScaleNormal="130" workbookViewId="0">
      <selection activeCell="A25" sqref="A2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22</v>
      </c>
      <c r="G3" s="21" t="s">
        <v>26</v>
      </c>
      <c r="H3" s="21"/>
      <c r="I3" s="21" t="s">
        <v>33</v>
      </c>
      <c r="J3" s="21" t="s">
        <v>73</v>
      </c>
    </row>
    <row r="4" spans="1:10" x14ac:dyDescent="0.25">
      <c r="A4" s="12" t="s">
        <v>18</v>
      </c>
      <c r="B4" s="13"/>
      <c r="D4" s="12" t="s">
        <v>68</v>
      </c>
      <c r="E4" s="68">
        <v>2015</v>
      </c>
      <c r="G4" s="19">
        <f>E4</f>
        <v>2015</v>
      </c>
      <c r="H4" s="19">
        <f>IF(G4&lt;2041,1,0)</f>
        <v>1</v>
      </c>
      <c r="I4" s="29">
        <f>IF($G4&lt;($G$4+$E$5),$E$17,0)*H4</f>
        <v>0</v>
      </c>
      <c r="J4" s="56">
        <f>I4*$B$18*$B$19/10^3</f>
        <v>0</v>
      </c>
    </row>
    <row r="5" spans="1:10" x14ac:dyDescent="0.25">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x14ac:dyDescent="0.25">
      <c r="A6" s="12" t="s">
        <v>20</v>
      </c>
      <c r="B6" s="13">
        <v>1</v>
      </c>
      <c r="D6" s="117" t="s">
        <v>55</v>
      </c>
      <c r="E6" s="118"/>
      <c r="G6" s="19">
        <f t="shared" si="0"/>
        <v>2017</v>
      </c>
      <c r="H6" s="19">
        <f t="shared" si="1"/>
        <v>1</v>
      </c>
      <c r="I6" s="29">
        <f t="shared" si="2"/>
        <v>0</v>
      </c>
      <c r="J6" s="56">
        <f t="shared" si="3"/>
        <v>0</v>
      </c>
    </row>
    <row r="7" spans="1:10" x14ac:dyDescent="0.25">
      <c r="A7" s="12" t="s">
        <v>71</v>
      </c>
      <c r="B7" s="31"/>
      <c r="D7" s="12" t="s">
        <v>65</v>
      </c>
      <c r="E7" s="16"/>
      <c r="G7" s="20">
        <f t="shared" si="0"/>
        <v>2018</v>
      </c>
      <c r="H7" s="20">
        <f t="shared" si="1"/>
        <v>1</v>
      </c>
      <c r="I7" s="29">
        <f t="shared" si="2"/>
        <v>0</v>
      </c>
      <c r="J7" s="63">
        <f t="shared" si="3"/>
        <v>0</v>
      </c>
    </row>
    <row r="8" spans="1:10" x14ac:dyDescent="0.25">
      <c r="A8" s="30" t="s">
        <v>72</v>
      </c>
      <c r="B8" s="31"/>
      <c r="D8" s="12" t="s">
        <v>63</v>
      </c>
      <c r="E8" s="67">
        <v>1.1499999999999999</v>
      </c>
      <c r="G8" s="19">
        <f t="shared" si="0"/>
        <v>2019</v>
      </c>
      <c r="H8" s="19">
        <f t="shared" si="1"/>
        <v>1</v>
      </c>
      <c r="I8" s="29">
        <f t="shared" si="2"/>
        <v>0</v>
      </c>
      <c r="J8" s="56">
        <f t="shared" si="3"/>
        <v>0</v>
      </c>
    </row>
    <row r="9" spans="1:10" x14ac:dyDescent="0.25">
      <c r="G9" s="20">
        <f t="shared" si="0"/>
        <v>2020</v>
      </c>
      <c r="H9" s="20">
        <f t="shared" si="1"/>
        <v>1</v>
      </c>
      <c r="I9" s="29">
        <f t="shared" si="2"/>
        <v>0</v>
      </c>
      <c r="J9" s="63">
        <f t="shared" si="3"/>
        <v>0</v>
      </c>
    </row>
    <row r="10" spans="1:10" x14ac:dyDescent="0.25">
      <c r="A10" s="18" t="s">
        <v>31</v>
      </c>
      <c r="G10" s="19">
        <f t="shared" si="0"/>
        <v>2021</v>
      </c>
      <c r="H10" s="19">
        <f t="shared" si="1"/>
        <v>1</v>
      </c>
      <c r="I10" s="29">
        <f t="shared" si="2"/>
        <v>0</v>
      </c>
      <c r="J10" s="56">
        <f t="shared" si="3"/>
        <v>0</v>
      </c>
    </row>
    <row r="11" spans="1:10" x14ac:dyDescent="0.25">
      <c r="A11" s="17" t="s">
        <v>67</v>
      </c>
      <c r="B11" s="65" t="e">
        <f>NPV($B$17,J4:J29)/(1+$B$17)^(E4-B16+1)</f>
        <v>#VALUE!</v>
      </c>
      <c r="G11" s="20">
        <f t="shared" si="0"/>
        <v>2022</v>
      </c>
      <c r="H11" s="20">
        <f t="shared" si="1"/>
        <v>1</v>
      </c>
      <c r="I11" s="29">
        <f t="shared" si="2"/>
        <v>0</v>
      </c>
      <c r="J11" s="63">
        <f t="shared" si="3"/>
        <v>0</v>
      </c>
    </row>
    <row r="12" spans="1:10" x14ac:dyDescent="0.25">
      <c r="A12" s="17" t="s">
        <v>30</v>
      </c>
      <c r="B12" s="62" t="e">
        <f>B11/B7</f>
        <v>#VALUE!</v>
      </c>
      <c r="G12" s="19">
        <f t="shared" si="0"/>
        <v>2023</v>
      </c>
      <c r="H12" s="19">
        <f t="shared" si="1"/>
        <v>1</v>
      </c>
      <c r="I12" s="29">
        <f t="shared" si="2"/>
        <v>0</v>
      </c>
      <c r="J12" s="56">
        <f t="shared" si="3"/>
        <v>0</v>
      </c>
    </row>
    <row r="13" spans="1:10" x14ac:dyDescent="0.25">
      <c r="G13" s="20">
        <f t="shared" si="0"/>
        <v>2024</v>
      </c>
      <c r="H13" s="20">
        <f t="shared" si="1"/>
        <v>1</v>
      </c>
      <c r="I13" s="29">
        <f t="shared" si="2"/>
        <v>0</v>
      </c>
      <c r="J13" s="63">
        <f t="shared" si="3"/>
        <v>0</v>
      </c>
    </row>
    <row r="14" spans="1:10" x14ac:dyDescent="0.25">
      <c r="G14" s="19">
        <f>G13+1</f>
        <v>2025</v>
      </c>
      <c r="H14" s="19">
        <f t="shared" si="1"/>
        <v>1</v>
      </c>
      <c r="I14" s="29">
        <f t="shared" si="2"/>
        <v>0</v>
      </c>
      <c r="J14" s="56">
        <f t="shared" si="3"/>
        <v>0</v>
      </c>
    </row>
    <row r="15" spans="1:10" x14ac:dyDescent="0.25">
      <c r="A15" s="22" t="s">
        <v>14</v>
      </c>
      <c r="G15" s="20">
        <f t="shared" si="0"/>
        <v>2026</v>
      </c>
      <c r="H15" s="20">
        <f t="shared" si="1"/>
        <v>1</v>
      </c>
      <c r="I15" s="29">
        <f t="shared" si="2"/>
        <v>0</v>
      </c>
      <c r="J15" s="63">
        <f t="shared" si="3"/>
        <v>0</v>
      </c>
    </row>
    <row r="16" spans="1:10" x14ac:dyDescent="0.25">
      <c r="A16" s="23" t="s">
        <v>15</v>
      </c>
      <c r="B16" s="34">
        <f>'Assumed Values'!C5</f>
        <v>2015</v>
      </c>
      <c r="D16" s="22" t="s">
        <v>28</v>
      </c>
      <c r="E16" s="32" t="s">
        <v>22</v>
      </c>
      <c r="G16" s="19">
        <f t="shared" si="0"/>
        <v>2027</v>
      </c>
      <c r="H16" s="19">
        <f t="shared" si="1"/>
        <v>1</v>
      </c>
      <c r="I16" s="29">
        <f t="shared" si="2"/>
        <v>0</v>
      </c>
      <c r="J16" s="56">
        <f t="shared" si="3"/>
        <v>0</v>
      </c>
    </row>
    <row r="17" spans="1:10" x14ac:dyDescent="0.25">
      <c r="A17" s="23" t="s">
        <v>16</v>
      </c>
      <c r="B17" s="24" t="str">
        <f>'Assumed Values'!C6</f>
        <v>3% and 7%</v>
      </c>
      <c r="D17" s="26" t="s">
        <v>64</v>
      </c>
      <c r="E17" s="27">
        <f>E7/E8</f>
        <v>0</v>
      </c>
      <c r="G17" s="20">
        <f t="shared" si="0"/>
        <v>2028</v>
      </c>
      <c r="H17" s="20">
        <f t="shared" si="1"/>
        <v>1</v>
      </c>
      <c r="I17" s="29">
        <f t="shared" si="2"/>
        <v>0</v>
      </c>
      <c r="J17" s="63">
        <f t="shared" si="3"/>
        <v>0</v>
      </c>
    </row>
    <row r="18" spans="1:10" x14ac:dyDescent="0.25">
      <c r="A18" s="23" t="s">
        <v>17</v>
      </c>
      <c r="B18" s="23">
        <f>IF(B6=2,2.1, 1.1)</f>
        <v>1.1000000000000001</v>
      </c>
      <c r="G18" s="19">
        <f t="shared" si="0"/>
        <v>2029</v>
      </c>
      <c r="H18" s="19">
        <f t="shared" si="1"/>
        <v>1</v>
      </c>
      <c r="I18" s="29">
        <f t="shared" si="2"/>
        <v>0</v>
      </c>
      <c r="J18" s="56">
        <f t="shared" si="3"/>
        <v>0</v>
      </c>
    </row>
    <row r="19" spans="1:10" x14ac:dyDescent="0.25">
      <c r="A19" s="23" t="s">
        <v>21</v>
      </c>
      <c r="B19" s="25">
        <f>'Assumed Values'!C15</f>
        <v>16.100000000000001</v>
      </c>
      <c r="G19" s="20">
        <f t="shared" si="0"/>
        <v>2030</v>
      </c>
      <c r="H19" s="20">
        <f t="shared" si="1"/>
        <v>1</v>
      </c>
      <c r="I19" s="29">
        <f t="shared" si="2"/>
        <v>0</v>
      </c>
      <c r="J19" s="63">
        <f t="shared" si="3"/>
        <v>0</v>
      </c>
    </row>
    <row r="20" spans="1:10" x14ac:dyDescent="0.25">
      <c r="A20" s="23" t="s">
        <v>29</v>
      </c>
      <c r="B20" s="23">
        <v>260</v>
      </c>
      <c r="G20" s="19">
        <f t="shared" si="0"/>
        <v>2031</v>
      </c>
      <c r="H20" s="19">
        <f t="shared" si="1"/>
        <v>1</v>
      </c>
      <c r="I20" s="29">
        <f t="shared" si="2"/>
        <v>0</v>
      </c>
      <c r="J20" s="56">
        <f t="shared" si="3"/>
        <v>0</v>
      </c>
    </row>
    <row r="21" spans="1:10" x14ac:dyDescent="0.25">
      <c r="G21" s="20">
        <f t="shared" si="0"/>
        <v>2032</v>
      </c>
      <c r="H21" s="20">
        <f t="shared" si="1"/>
        <v>1</v>
      </c>
      <c r="I21" s="29">
        <f t="shared" si="2"/>
        <v>0</v>
      </c>
      <c r="J21" s="63">
        <f t="shared" si="3"/>
        <v>0</v>
      </c>
    </row>
    <row r="22" spans="1:10" x14ac:dyDescent="0.25">
      <c r="G22" s="19">
        <f t="shared" si="0"/>
        <v>2033</v>
      </c>
      <c r="H22" s="19">
        <f t="shared" si="1"/>
        <v>1</v>
      </c>
      <c r="I22" s="29">
        <f t="shared" si="2"/>
        <v>0</v>
      </c>
      <c r="J22" s="56">
        <f t="shared" si="3"/>
        <v>0</v>
      </c>
    </row>
    <row r="23" spans="1:10" x14ac:dyDescent="0.25">
      <c r="G23" s="20">
        <f t="shared" si="0"/>
        <v>2034</v>
      </c>
      <c r="H23" s="20">
        <f t="shared" si="1"/>
        <v>1</v>
      </c>
      <c r="I23" s="29">
        <f t="shared" si="2"/>
        <v>0</v>
      </c>
      <c r="J23" s="63">
        <f t="shared" si="3"/>
        <v>0</v>
      </c>
    </row>
    <row r="24" spans="1:10" x14ac:dyDescent="0.25">
      <c r="G24" s="19">
        <f t="shared" si="0"/>
        <v>2035</v>
      </c>
      <c r="H24" s="19">
        <f t="shared" si="1"/>
        <v>1</v>
      </c>
      <c r="I24" s="29">
        <f t="shared" si="2"/>
        <v>0</v>
      </c>
      <c r="J24" s="56">
        <f t="shared" si="3"/>
        <v>0</v>
      </c>
    </row>
    <row r="25" spans="1:10" x14ac:dyDescent="0.25">
      <c r="G25" s="20">
        <f t="shared" si="0"/>
        <v>2036</v>
      </c>
      <c r="H25" s="20">
        <f t="shared" si="1"/>
        <v>1</v>
      </c>
      <c r="I25" s="29">
        <f t="shared" si="2"/>
        <v>0</v>
      </c>
      <c r="J25" s="63">
        <f t="shared" ref="J25:J29" si="4">I25*$B$18*$B$19/10^3</f>
        <v>0</v>
      </c>
    </row>
    <row r="26" spans="1:10" x14ac:dyDescent="0.25">
      <c r="G26" s="19">
        <f t="shared" si="0"/>
        <v>2037</v>
      </c>
      <c r="H26" s="19">
        <f t="shared" si="1"/>
        <v>1</v>
      </c>
      <c r="I26" s="29">
        <f t="shared" si="2"/>
        <v>0</v>
      </c>
      <c r="J26" s="56">
        <f t="shared" si="4"/>
        <v>0</v>
      </c>
    </row>
    <row r="27" spans="1:10" x14ac:dyDescent="0.25">
      <c r="G27" s="20">
        <f t="shared" si="0"/>
        <v>2038</v>
      </c>
      <c r="H27" s="20">
        <f t="shared" si="1"/>
        <v>1</v>
      </c>
      <c r="I27" s="29">
        <f t="shared" si="2"/>
        <v>0</v>
      </c>
      <c r="J27" s="63">
        <f t="shared" si="4"/>
        <v>0</v>
      </c>
    </row>
    <row r="28" spans="1:10" x14ac:dyDescent="0.25">
      <c r="G28" s="19">
        <f t="shared" si="0"/>
        <v>2039</v>
      </c>
      <c r="H28" s="19">
        <f t="shared" si="1"/>
        <v>1</v>
      </c>
      <c r="I28" s="29">
        <f t="shared" si="2"/>
        <v>0</v>
      </c>
      <c r="J28" s="56">
        <f t="shared" si="4"/>
        <v>0</v>
      </c>
    </row>
    <row r="29" spans="1:10" x14ac:dyDescent="0.25">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22</v>
      </c>
      <c r="G3" s="21" t="s">
        <v>26</v>
      </c>
      <c r="H3" s="21" t="s">
        <v>62</v>
      </c>
      <c r="I3" s="21" t="s">
        <v>78</v>
      </c>
      <c r="J3" s="21" t="s">
        <v>61</v>
      </c>
      <c r="K3" s="21" t="s">
        <v>79</v>
      </c>
    </row>
    <row r="4" spans="1:11" x14ac:dyDescent="0.25">
      <c r="A4" s="12" t="s">
        <v>18</v>
      </c>
      <c r="B4" s="13"/>
      <c r="D4" s="12" t="s">
        <v>68</v>
      </c>
      <c r="E4" s="68">
        <v>2015</v>
      </c>
      <c r="G4" s="19">
        <f>E4</f>
        <v>2015</v>
      </c>
      <c r="H4" s="59">
        <f t="shared" ref="H4:H24" si="0">IF($G4&lt;($G$4+$E$5),$E$17,0)</f>
        <v>0</v>
      </c>
      <c r="I4" s="58">
        <f>H4*$B$20/10^3</f>
        <v>0</v>
      </c>
      <c r="J4" s="59">
        <f t="shared" ref="J4:J24" si="1">IF($G4&lt;($G$4+$E$5),$E$18,0)</f>
        <v>0</v>
      </c>
      <c r="K4" s="58">
        <f>J4*$B$21/10^3</f>
        <v>0</v>
      </c>
    </row>
    <row r="5" spans="1:11" x14ac:dyDescent="0.25">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x14ac:dyDescent="0.25">
      <c r="A6" s="12" t="s">
        <v>58</v>
      </c>
      <c r="B6" s="13">
        <v>2</v>
      </c>
      <c r="D6" s="117" t="s">
        <v>55</v>
      </c>
      <c r="E6" s="118"/>
      <c r="G6" s="19">
        <f t="shared" si="2"/>
        <v>2017</v>
      </c>
      <c r="H6" s="59">
        <f t="shared" si="0"/>
        <v>0</v>
      </c>
      <c r="I6" s="58">
        <f t="shared" si="3"/>
        <v>0</v>
      </c>
      <c r="J6" s="59">
        <f t="shared" si="1"/>
        <v>0</v>
      </c>
      <c r="K6" s="58">
        <f t="shared" si="4"/>
        <v>0</v>
      </c>
    </row>
    <row r="7" spans="1:11" x14ac:dyDescent="0.25">
      <c r="A7" s="12" t="s">
        <v>71</v>
      </c>
      <c r="B7" s="31"/>
      <c r="D7" s="12" t="s">
        <v>54</v>
      </c>
      <c r="E7" s="16"/>
      <c r="G7" s="20">
        <f t="shared" si="2"/>
        <v>2018</v>
      </c>
      <c r="H7" s="59">
        <f t="shared" si="0"/>
        <v>0</v>
      </c>
      <c r="I7" s="60">
        <f t="shared" si="3"/>
        <v>0</v>
      </c>
      <c r="J7" s="59">
        <f t="shared" si="1"/>
        <v>0</v>
      </c>
      <c r="K7" s="60">
        <f t="shared" si="4"/>
        <v>0</v>
      </c>
    </row>
    <row r="8" spans="1:11" x14ac:dyDescent="0.25">
      <c r="A8" s="30" t="s">
        <v>72</v>
      </c>
      <c r="B8" s="31"/>
      <c r="D8" s="117" t="s">
        <v>56</v>
      </c>
      <c r="E8" s="118"/>
      <c r="G8" s="19">
        <f t="shared" si="2"/>
        <v>2019</v>
      </c>
      <c r="H8" s="59">
        <f t="shared" si="0"/>
        <v>0</v>
      </c>
      <c r="I8" s="58">
        <f t="shared" si="3"/>
        <v>0</v>
      </c>
      <c r="J8" s="59">
        <f t="shared" si="1"/>
        <v>0</v>
      </c>
      <c r="K8" s="58">
        <f t="shared" si="4"/>
        <v>0</v>
      </c>
    </row>
    <row r="9" spans="1:11" x14ac:dyDescent="0.25">
      <c r="D9" s="12" t="s">
        <v>59</v>
      </c>
      <c r="E9" s="16"/>
      <c r="G9" s="20">
        <f t="shared" si="2"/>
        <v>2020</v>
      </c>
      <c r="H9" s="59">
        <f t="shared" si="0"/>
        <v>0</v>
      </c>
      <c r="I9" s="60">
        <f t="shared" si="3"/>
        <v>0</v>
      </c>
      <c r="J9" s="59">
        <f t="shared" si="1"/>
        <v>0</v>
      </c>
      <c r="K9" s="60">
        <f t="shared" si="4"/>
        <v>0</v>
      </c>
    </row>
    <row r="10" spans="1:11" x14ac:dyDescent="0.25">
      <c r="A10" s="18" t="s">
        <v>31</v>
      </c>
      <c r="D10" s="12" t="s">
        <v>60</v>
      </c>
      <c r="E10" s="16"/>
      <c r="G10" s="19">
        <f t="shared" si="2"/>
        <v>2021</v>
      </c>
      <c r="H10" s="59">
        <f t="shared" si="0"/>
        <v>0</v>
      </c>
      <c r="I10" s="58">
        <f t="shared" si="3"/>
        <v>0</v>
      </c>
      <c r="J10" s="59">
        <f t="shared" si="1"/>
        <v>0</v>
      </c>
      <c r="K10" s="58">
        <f t="shared" si="4"/>
        <v>0</v>
      </c>
    </row>
    <row r="11" spans="1:11" x14ac:dyDescent="0.25">
      <c r="A11" s="17" t="s">
        <v>80</v>
      </c>
      <c r="B11" s="61">
        <f>(NPV($B$17,K4:K24)+NPV($B$17,I4:I24))/(1+$B$17)^2</f>
        <v>0</v>
      </c>
      <c r="G11" s="20">
        <f t="shared" si="2"/>
        <v>2022</v>
      </c>
      <c r="H11" s="59">
        <f t="shared" si="0"/>
        <v>0</v>
      </c>
      <c r="I11" s="60">
        <f t="shared" si="3"/>
        <v>0</v>
      </c>
      <c r="J11" s="59">
        <f t="shared" si="1"/>
        <v>0</v>
      </c>
      <c r="K11" s="60">
        <f t="shared" si="4"/>
        <v>0</v>
      </c>
    </row>
    <row r="12" spans="1:11" x14ac:dyDescent="0.25">
      <c r="A12" s="17" t="s">
        <v>30</v>
      </c>
      <c r="B12" s="62" t="e">
        <f>B11/B7</f>
        <v>#DIV/0!</v>
      </c>
      <c r="G12" s="19">
        <f t="shared" si="2"/>
        <v>2023</v>
      </c>
      <c r="H12" s="59">
        <f t="shared" si="0"/>
        <v>0</v>
      </c>
      <c r="I12" s="58">
        <f t="shared" si="3"/>
        <v>0</v>
      </c>
      <c r="J12" s="59">
        <f t="shared" si="1"/>
        <v>0</v>
      </c>
      <c r="K12" s="58">
        <f t="shared" si="4"/>
        <v>0</v>
      </c>
    </row>
    <row r="13" spans="1:11" x14ac:dyDescent="0.25">
      <c r="A13" s="17" t="s">
        <v>81</v>
      </c>
      <c r="B13" s="61" t="e">
        <f>B7*(B17/(1-(1+B17)^(-E5))/(SUM(H4:H29)+SUM(J4:J29)))</f>
        <v>#DIV/0!</v>
      </c>
      <c r="G13" s="20">
        <f t="shared" si="2"/>
        <v>2024</v>
      </c>
      <c r="H13" s="59">
        <f t="shared" si="0"/>
        <v>0</v>
      </c>
      <c r="I13" s="60">
        <f t="shared" si="3"/>
        <v>0</v>
      </c>
      <c r="J13" s="59">
        <f t="shared" si="1"/>
        <v>0</v>
      </c>
      <c r="K13" s="60">
        <f t="shared" si="4"/>
        <v>0</v>
      </c>
    </row>
    <row r="14" spans="1:11" x14ac:dyDescent="0.25">
      <c r="G14" s="19">
        <f>G13+1</f>
        <v>2025</v>
      </c>
      <c r="H14" s="59">
        <f t="shared" si="0"/>
        <v>0</v>
      </c>
      <c r="I14" s="58">
        <f t="shared" si="3"/>
        <v>0</v>
      </c>
      <c r="J14" s="59">
        <f t="shared" si="1"/>
        <v>0</v>
      </c>
      <c r="K14" s="58">
        <f t="shared" si="4"/>
        <v>0</v>
      </c>
    </row>
    <row r="15" spans="1:11" x14ac:dyDescent="0.25">
      <c r="A15" s="22" t="s">
        <v>14</v>
      </c>
      <c r="G15" s="20">
        <f t="shared" si="2"/>
        <v>2026</v>
      </c>
      <c r="H15" s="59">
        <f t="shared" si="0"/>
        <v>0</v>
      </c>
      <c r="I15" s="60">
        <f t="shared" si="3"/>
        <v>0</v>
      </c>
      <c r="J15" s="59">
        <f t="shared" si="1"/>
        <v>0</v>
      </c>
      <c r="K15" s="60">
        <f t="shared" si="4"/>
        <v>0</v>
      </c>
    </row>
    <row r="16" spans="1:11" x14ac:dyDescent="0.25">
      <c r="A16" s="23" t="s">
        <v>15</v>
      </c>
      <c r="B16" s="34">
        <v>2015</v>
      </c>
      <c r="D16" s="22" t="s">
        <v>28</v>
      </c>
      <c r="E16" s="32" t="s">
        <v>22</v>
      </c>
      <c r="G16" s="19">
        <f t="shared" si="2"/>
        <v>2027</v>
      </c>
      <c r="H16" s="59">
        <f t="shared" si="0"/>
        <v>0</v>
      </c>
      <c r="I16" s="58">
        <f t="shared" si="3"/>
        <v>0</v>
      </c>
      <c r="J16" s="59">
        <f t="shared" si="1"/>
        <v>0</v>
      </c>
      <c r="K16" s="58">
        <f t="shared" si="4"/>
        <v>0</v>
      </c>
    </row>
    <row r="17" spans="1:11" x14ac:dyDescent="0.25">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x14ac:dyDescent="0.25">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x14ac:dyDescent="0.25">
      <c r="A19" s="23" t="s">
        <v>52</v>
      </c>
      <c r="B19" s="66">
        <f>IF($B$6=2,'Assumed Values'!C22,0)</f>
        <v>0.19106300000000001</v>
      </c>
      <c r="G19" s="20">
        <f t="shared" si="2"/>
        <v>2030</v>
      </c>
      <c r="H19" s="59">
        <f t="shared" si="0"/>
        <v>0</v>
      </c>
      <c r="I19" s="60">
        <f t="shared" si="3"/>
        <v>0</v>
      </c>
      <c r="J19" s="59">
        <f t="shared" si="1"/>
        <v>0</v>
      </c>
      <c r="K19" s="60">
        <f t="shared" si="4"/>
        <v>0</v>
      </c>
    </row>
    <row r="20" spans="1:11" x14ac:dyDescent="0.25">
      <c r="A20" s="23" t="s">
        <v>86</v>
      </c>
      <c r="B20" s="57">
        <f>'Assumed Values'!C19</f>
        <v>2083.1541467275511</v>
      </c>
      <c r="G20" s="19">
        <f t="shared" si="2"/>
        <v>2031</v>
      </c>
      <c r="H20" s="59">
        <f t="shared" si="0"/>
        <v>0</v>
      </c>
      <c r="I20" s="58">
        <f t="shared" si="3"/>
        <v>0</v>
      </c>
      <c r="J20" s="59">
        <f t="shared" si="1"/>
        <v>0</v>
      </c>
      <c r="K20" s="58">
        <f t="shared" si="4"/>
        <v>0</v>
      </c>
    </row>
    <row r="21" spans="1:11" x14ac:dyDescent="0.25">
      <c r="A21" s="23" t="s">
        <v>87</v>
      </c>
      <c r="B21" s="57">
        <f>'Assumed Values'!C20</f>
        <v>8208.6069103416321</v>
      </c>
      <c r="G21" s="20">
        <f t="shared" si="2"/>
        <v>2032</v>
      </c>
      <c r="H21" s="59">
        <f t="shared" si="0"/>
        <v>0</v>
      </c>
      <c r="I21" s="60">
        <f t="shared" si="3"/>
        <v>0</v>
      </c>
      <c r="J21" s="59">
        <f t="shared" si="1"/>
        <v>0</v>
      </c>
      <c r="K21" s="60">
        <f t="shared" si="4"/>
        <v>0</v>
      </c>
    </row>
    <row r="22" spans="1:11" x14ac:dyDescent="0.25">
      <c r="A22" s="23" t="s">
        <v>29</v>
      </c>
      <c r="B22" s="23">
        <v>260</v>
      </c>
      <c r="G22" s="19">
        <f t="shared" si="2"/>
        <v>2033</v>
      </c>
      <c r="H22" s="59">
        <f t="shared" si="0"/>
        <v>0</v>
      </c>
      <c r="I22" s="58">
        <f t="shared" si="3"/>
        <v>0</v>
      </c>
      <c r="J22" s="59">
        <f t="shared" si="1"/>
        <v>0</v>
      </c>
      <c r="K22" s="58">
        <f t="shared" si="4"/>
        <v>0</v>
      </c>
    </row>
    <row r="23" spans="1:11" x14ac:dyDescent="0.25">
      <c r="G23" s="20">
        <f t="shared" si="2"/>
        <v>2034</v>
      </c>
      <c r="H23" s="59">
        <f t="shared" si="0"/>
        <v>0</v>
      </c>
      <c r="I23" s="60">
        <f t="shared" si="3"/>
        <v>0</v>
      </c>
      <c r="J23" s="59">
        <f t="shared" si="1"/>
        <v>0</v>
      </c>
      <c r="K23" s="60">
        <f t="shared" si="4"/>
        <v>0</v>
      </c>
    </row>
    <row r="24" spans="1:11" x14ac:dyDescent="0.25">
      <c r="G24" s="19">
        <f t="shared" si="2"/>
        <v>2035</v>
      </c>
      <c r="H24" s="59">
        <f t="shared" si="0"/>
        <v>0</v>
      </c>
      <c r="I24" s="58">
        <f t="shared" si="3"/>
        <v>0</v>
      </c>
      <c r="J24" s="59">
        <f t="shared" si="1"/>
        <v>0</v>
      </c>
      <c r="K24" s="58">
        <f t="shared" si="4"/>
        <v>0</v>
      </c>
    </row>
    <row r="25" spans="1:11" x14ac:dyDescent="0.25">
      <c r="G25" s="20">
        <f t="shared" si="2"/>
        <v>2036</v>
      </c>
      <c r="H25" s="59">
        <f t="shared" ref="H25:H28" si="5">IF($G25&lt;($G$4+$E$5),$E$17,0)</f>
        <v>0</v>
      </c>
      <c r="I25" s="60">
        <f t="shared" ref="I25:I29" si="6">H25*$B$20/10^3</f>
        <v>0</v>
      </c>
      <c r="J25" s="59">
        <f t="shared" ref="J25:J28" si="7">IF($G25&lt;($G$4+$E$5),$E$18,0)</f>
        <v>0</v>
      </c>
      <c r="K25" s="60">
        <f t="shared" ref="K25:K29" si="8">J25*$B$21/10^3</f>
        <v>0</v>
      </c>
    </row>
    <row r="26" spans="1:11" x14ac:dyDescent="0.25">
      <c r="G26" s="19">
        <f t="shared" si="2"/>
        <v>2037</v>
      </c>
      <c r="H26" s="59">
        <f t="shared" si="5"/>
        <v>0</v>
      </c>
      <c r="I26" s="58">
        <f t="shared" si="6"/>
        <v>0</v>
      </c>
      <c r="J26" s="59">
        <f t="shared" si="7"/>
        <v>0</v>
      </c>
      <c r="K26" s="58">
        <f t="shared" si="8"/>
        <v>0</v>
      </c>
    </row>
    <row r="27" spans="1:11" x14ac:dyDescent="0.25">
      <c r="G27" s="20">
        <f t="shared" si="2"/>
        <v>2038</v>
      </c>
      <c r="H27" s="59">
        <f t="shared" si="5"/>
        <v>0</v>
      </c>
      <c r="I27" s="60">
        <f t="shared" si="6"/>
        <v>0</v>
      </c>
      <c r="J27" s="59">
        <f t="shared" si="7"/>
        <v>0</v>
      </c>
      <c r="K27" s="60">
        <f t="shared" si="8"/>
        <v>0</v>
      </c>
    </row>
    <row r="28" spans="1:11" x14ac:dyDescent="0.25">
      <c r="G28" s="19">
        <f t="shared" si="2"/>
        <v>2039</v>
      </c>
      <c r="H28" s="59">
        <f t="shared" si="5"/>
        <v>0</v>
      </c>
      <c r="I28" s="58">
        <f t="shared" si="6"/>
        <v>0</v>
      </c>
      <c r="J28" s="59">
        <f t="shared" si="7"/>
        <v>0</v>
      </c>
      <c r="K28" s="58">
        <f t="shared" si="8"/>
        <v>0</v>
      </c>
    </row>
    <row r="29" spans="1:11" x14ac:dyDescent="0.25">
      <c r="G29" s="20">
        <f t="shared" si="2"/>
        <v>2040</v>
      </c>
      <c r="H29" s="59">
        <f>IF($G29&lt;($G$4+$E$5),$E$17,0)</f>
        <v>0</v>
      </c>
      <c r="I29" s="60">
        <f t="shared" si="6"/>
        <v>0</v>
      </c>
      <c r="J29" s="59">
        <f>IF($G29&lt;($G$4+$E$5),$E$18,0)</f>
        <v>0</v>
      </c>
      <c r="K29" s="60">
        <f t="shared" si="8"/>
        <v>0</v>
      </c>
    </row>
    <row r="31" spans="1:11" x14ac:dyDescent="0.25">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topLeftCell="A4" zoomScale="115" zoomScaleNormal="115" workbookViewId="0">
      <selection activeCell="B19" sqref="B19"/>
    </sheetView>
  </sheetViews>
  <sheetFormatPr defaultRowHeight="15" x14ac:dyDescent="0.25"/>
  <cols>
    <col min="1" max="1" width="45.140625" bestFit="1" customWidth="1"/>
    <col min="2" max="2" width="12.5703125" customWidth="1"/>
    <col min="3" max="3" width="5.28515625" customWidth="1"/>
    <col min="4" max="4" width="33.7109375" customWidth="1"/>
    <col min="5" max="5" width="8.7109375" customWidth="1"/>
    <col min="6" max="6" width="9.140625" customWidth="1"/>
    <col min="7" max="7" width="8.7109375" customWidth="1"/>
    <col min="8" max="8" width="10.85546875" customWidth="1"/>
  </cols>
  <sheetData>
    <row r="3" spans="1:8" ht="18.75" x14ac:dyDescent="0.3">
      <c r="A3" s="92" t="s">
        <v>138</v>
      </c>
      <c r="B3" s="93"/>
      <c r="C3" s="93"/>
      <c r="D3" s="93"/>
      <c r="E3" s="93"/>
      <c r="F3" s="93"/>
      <c r="G3" s="93"/>
      <c r="H3" s="93"/>
    </row>
    <row r="5" spans="1:8" x14ac:dyDescent="0.25">
      <c r="A5" s="14" t="s">
        <v>309</v>
      </c>
    </row>
    <row r="6" spans="1:8" x14ac:dyDescent="0.25">
      <c r="A6" s="12" t="s">
        <v>18</v>
      </c>
      <c r="B6" s="13" t="s">
        <v>321</v>
      </c>
      <c r="D6" s="115" t="s">
        <v>307</v>
      </c>
      <c r="E6" s="116"/>
      <c r="F6" s="116"/>
    </row>
    <row r="7" spans="1:8" x14ac:dyDescent="0.25">
      <c r="A7" s="12" t="s">
        <v>118</v>
      </c>
      <c r="B7" s="13">
        <v>300483</v>
      </c>
    </row>
    <row r="8" spans="1:8" x14ac:dyDescent="0.25">
      <c r="A8" s="12" t="s">
        <v>119</v>
      </c>
      <c r="B8" s="13" t="s">
        <v>322</v>
      </c>
    </row>
    <row r="9" spans="1:8" x14ac:dyDescent="0.25">
      <c r="D9" s="110" t="s">
        <v>300</v>
      </c>
      <c r="E9" s="111">
        <v>2011</v>
      </c>
      <c r="F9" s="111">
        <v>2012</v>
      </c>
      <c r="G9" s="111">
        <v>2013</v>
      </c>
      <c r="H9" s="111" t="s">
        <v>304</v>
      </c>
    </row>
    <row r="10" spans="1:8" x14ac:dyDescent="0.25">
      <c r="A10" s="14" t="s">
        <v>308</v>
      </c>
      <c r="D10" s="113" t="s">
        <v>145</v>
      </c>
      <c r="E10" s="114">
        <v>0</v>
      </c>
      <c r="F10" s="114">
        <v>1</v>
      </c>
      <c r="G10" s="114">
        <v>0</v>
      </c>
      <c r="H10" s="112">
        <f>AVERAGE(E10:G10)</f>
        <v>0.33333333333333331</v>
      </c>
    </row>
    <row r="11" spans="1:8" x14ac:dyDescent="0.25">
      <c r="A11" s="12" t="s">
        <v>318</v>
      </c>
      <c r="B11" s="68">
        <v>2018</v>
      </c>
      <c r="D11" s="113" t="s">
        <v>151</v>
      </c>
      <c r="E11" s="114">
        <v>1</v>
      </c>
      <c r="F11" s="114">
        <v>2</v>
      </c>
      <c r="G11" s="114">
        <v>0</v>
      </c>
      <c r="H11" s="112">
        <f>AVERAGE(E11:G11)</f>
        <v>1</v>
      </c>
    </row>
    <row r="12" spans="1:8" x14ac:dyDescent="0.25">
      <c r="A12" s="12" t="s">
        <v>320</v>
      </c>
      <c r="B12" s="108">
        <v>0.45</v>
      </c>
      <c r="D12" s="113" t="s">
        <v>150</v>
      </c>
      <c r="E12" s="114">
        <v>2</v>
      </c>
      <c r="F12" s="114">
        <v>3</v>
      </c>
      <c r="G12" s="114">
        <v>3</v>
      </c>
      <c r="H12" s="112">
        <f t="shared" ref="H12:H15" si="0">AVERAGE(E12:G12)</f>
        <v>2.6666666666666665</v>
      </c>
    </row>
    <row r="13" spans="1:8" x14ac:dyDescent="0.25">
      <c r="A13" s="12" t="s">
        <v>319</v>
      </c>
      <c r="B13" s="68">
        <v>20</v>
      </c>
      <c r="D13" s="113" t="s">
        <v>149</v>
      </c>
      <c r="E13" s="114">
        <v>5</v>
      </c>
      <c r="F13" s="114">
        <v>0</v>
      </c>
      <c r="G13" s="114">
        <v>1</v>
      </c>
      <c r="H13" s="112">
        <f t="shared" si="0"/>
        <v>2</v>
      </c>
    </row>
    <row r="14" spans="1:8" x14ac:dyDescent="0.25">
      <c r="D14" s="113" t="s">
        <v>148</v>
      </c>
      <c r="E14" s="114">
        <v>24</v>
      </c>
      <c r="F14" s="114">
        <v>15</v>
      </c>
      <c r="G14" s="114">
        <v>24</v>
      </c>
      <c r="H14" s="112">
        <f t="shared" si="0"/>
        <v>21</v>
      </c>
    </row>
    <row r="15" spans="1:8" x14ac:dyDescent="0.25">
      <c r="A15" s="14" t="s">
        <v>120</v>
      </c>
      <c r="B15" s="15" t="s">
        <v>22</v>
      </c>
      <c r="D15" s="113" t="s">
        <v>147</v>
      </c>
      <c r="E15" s="114">
        <v>0</v>
      </c>
      <c r="F15" s="114">
        <v>0</v>
      </c>
      <c r="G15" s="114">
        <v>0</v>
      </c>
      <c r="H15" s="112">
        <f t="shared" si="0"/>
        <v>0</v>
      </c>
    </row>
    <row r="16" spans="1:8" x14ac:dyDescent="0.25">
      <c r="A16" s="12" t="s">
        <v>127</v>
      </c>
      <c r="B16" s="16">
        <v>6000</v>
      </c>
    </row>
    <row r="17" spans="1:8" x14ac:dyDescent="0.25">
      <c r="A17" s="12" t="s">
        <v>128</v>
      </c>
      <c r="B17" s="16">
        <v>17200</v>
      </c>
    </row>
    <row r="18" spans="1:8" x14ac:dyDescent="0.25">
      <c r="A18" s="96" t="s">
        <v>112</v>
      </c>
      <c r="B18" s="97"/>
    </row>
    <row r="19" spans="1:8" x14ac:dyDescent="0.25">
      <c r="A19" s="96" t="s">
        <v>113</v>
      </c>
      <c r="B19" s="97"/>
    </row>
    <row r="20" spans="1:8" x14ac:dyDescent="0.25">
      <c r="A20" s="12" t="s">
        <v>69</v>
      </c>
      <c r="B20" s="16">
        <v>19900</v>
      </c>
    </row>
    <row r="21" spans="1:8" x14ac:dyDescent="0.25">
      <c r="A21" s="12" t="s">
        <v>70</v>
      </c>
      <c r="B21" s="16">
        <v>17200</v>
      </c>
    </row>
    <row r="26" spans="1:8" ht="18.75" x14ac:dyDescent="0.3">
      <c r="A26" s="92" t="s">
        <v>139</v>
      </c>
      <c r="B26" s="93"/>
      <c r="C26" s="93"/>
      <c r="D26" s="93"/>
      <c r="E26" s="93"/>
      <c r="F26" s="93"/>
      <c r="G26" s="93"/>
      <c r="H26" s="93"/>
    </row>
    <row r="28" spans="1:8" x14ac:dyDescent="0.25">
      <c r="A28" s="18" t="s">
        <v>137</v>
      </c>
    </row>
    <row r="29" spans="1:8" x14ac:dyDescent="0.25">
      <c r="A29" s="17" t="s">
        <v>305</v>
      </c>
      <c r="B29" s="65">
        <f>NPV(7%,Value_of_Delay_Savings__2015_____000s)/(1+7%)^(2018-2015-1)</f>
        <v>27195.621640829464</v>
      </c>
      <c r="C29" s="95"/>
    </row>
    <row r="30" spans="1:8" x14ac:dyDescent="0.25">
      <c r="A30" s="17" t="s">
        <v>306</v>
      </c>
      <c r="B30" s="65">
        <f>NPV(3%,Value_of_Delay_Savings__2015_____000s)/(1+3%)^(2018-2015-1)</f>
        <v>44112.589699822922</v>
      </c>
      <c r="C30" s="95"/>
    </row>
    <row r="38" spans="1:1"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4</xdr:col>
                    <xdr:colOff>0</xdr:colOff>
                    <xdr:row>5</xdr:row>
                    <xdr:rowOff>28575</xdr:rowOff>
                  </from>
                  <to>
                    <xdr:col>5</xdr:col>
                    <xdr:colOff>0</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4</xdr:col>
                    <xdr:colOff>0</xdr:colOff>
                    <xdr:row>5</xdr:row>
                    <xdr:rowOff>19050</xdr:rowOff>
                  </from>
                  <to>
                    <xdr:col>5</xdr:col>
                    <xdr:colOff>0</xdr:colOff>
                    <xdr:row>5</xdr:row>
                    <xdr:rowOff>180975</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FD44"/>
  <sheetViews>
    <sheetView workbookViewId="0">
      <selection activeCell="A2" sqref="A2"/>
    </sheetView>
  </sheetViews>
  <sheetFormatPr defaultRowHeight="15" x14ac:dyDescent="0.25"/>
  <cols>
    <col min="38" max="38" width="24" bestFit="1" customWidth="1"/>
  </cols>
  <sheetData>
    <row r="1" spans="1:160" x14ac:dyDescent="0.25">
      <c r="A1" t="s">
        <v>299</v>
      </c>
      <c r="B1" t="s">
        <v>298</v>
      </c>
      <c r="C1" t="s">
        <v>297</v>
      </c>
      <c r="D1" t="s">
        <v>296</v>
      </c>
      <c r="E1" t="s">
        <v>295</v>
      </c>
      <c r="F1" t="s">
        <v>294</v>
      </c>
      <c r="G1" t="s">
        <v>293</v>
      </c>
      <c r="H1" t="s">
        <v>292</v>
      </c>
      <c r="I1" t="s">
        <v>291</v>
      </c>
      <c r="J1" t="s">
        <v>290</v>
      </c>
      <c r="K1" t="s">
        <v>289</v>
      </c>
      <c r="L1" t="s">
        <v>288</v>
      </c>
      <c r="M1" t="s">
        <v>287</v>
      </c>
      <c r="N1" t="s">
        <v>286</v>
      </c>
      <c r="O1" t="s">
        <v>285</v>
      </c>
      <c r="P1" t="s">
        <v>284</v>
      </c>
      <c r="Q1" t="s">
        <v>283</v>
      </c>
      <c r="R1" t="s">
        <v>282</v>
      </c>
      <c r="S1" t="s">
        <v>281</v>
      </c>
      <c r="T1" t="s">
        <v>280</v>
      </c>
      <c r="U1" t="s">
        <v>279</v>
      </c>
      <c r="V1" t="s">
        <v>278</v>
      </c>
      <c r="W1" t="s">
        <v>277</v>
      </c>
      <c r="X1" t="s">
        <v>276</v>
      </c>
      <c r="Y1" t="s">
        <v>275</v>
      </c>
      <c r="Z1" t="s">
        <v>274</v>
      </c>
      <c r="AA1" t="s">
        <v>273</v>
      </c>
      <c r="AB1" t="s">
        <v>272</v>
      </c>
      <c r="AC1" t="s">
        <v>271</v>
      </c>
      <c r="AD1" t="s">
        <v>270</v>
      </c>
      <c r="AE1" t="s">
        <v>269</v>
      </c>
      <c r="AF1" t="s">
        <v>268</v>
      </c>
      <c r="AG1" t="s">
        <v>267</v>
      </c>
      <c r="AH1" t="s">
        <v>266</v>
      </c>
      <c r="AI1" t="s">
        <v>265</v>
      </c>
      <c r="AJ1" t="s">
        <v>264</v>
      </c>
      <c r="AK1" t="s">
        <v>263</v>
      </c>
      <c r="AL1" t="s">
        <v>262</v>
      </c>
      <c r="AM1" t="s">
        <v>261</v>
      </c>
      <c r="AN1" t="s">
        <v>260</v>
      </c>
      <c r="AO1" t="s">
        <v>259</v>
      </c>
      <c r="AP1" t="s">
        <v>258</v>
      </c>
      <c r="AQ1" t="s">
        <v>257</v>
      </c>
      <c r="AR1" t="s">
        <v>256</v>
      </c>
      <c r="AS1" t="s">
        <v>255</v>
      </c>
      <c r="AT1" t="s">
        <v>254</v>
      </c>
      <c r="AU1" t="s">
        <v>253</v>
      </c>
      <c r="AV1" t="s">
        <v>252</v>
      </c>
      <c r="AW1" t="s">
        <v>251</v>
      </c>
      <c r="AX1" t="s">
        <v>250</v>
      </c>
      <c r="AY1" t="s">
        <v>249</v>
      </c>
      <c r="AZ1" t="s">
        <v>248</v>
      </c>
      <c r="BA1" t="s">
        <v>247</v>
      </c>
      <c r="BB1" t="s">
        <v>246</v>
      </c>
      <c r="BC1" t="s">
        <v>245</v>
      </c>
      <c r="BD1" t="s">
        <v>244</v>
      </c>
      <c r="BE1" t="s">
        <v>243</v>
      </c>
      <c r="BF1" t="s">
        <v>242</v>
      </c>
      <c r="BG1" t="s">
        <v>241</v>
      </c>
      <c r="BH1" t="s">
        <v>240</v>
      </c>
      <c r="BI1" t="s">
        <v>239</v>
      </c>
      <c r="BJ1" t="s">
        <v>238</v>
      </c>
      <c r="BK1" t="s">
        <v>237</v>
      </c>
      <c r="BL1" t="s">
        <v>236</v>
      </c>
      <c r="BM1" t="s">
        <v>235</v>
      </c>
      <c r="BN1" t="s">
        <v>234</v>
      </c>
      <c r="BO1" t="s">
        <v>233</v>
      </c>
      <c r="BP1" t="s">
        <v>232</v>
      </c>
      <c r="BQ1" t="s">
        <v>231</v>
      </c>
      <c r="BR1" t="s">
        <v>230</v>
      </c>
      <c r="BS1" t="s">
        <v>229</v>
      </c>
      <c r="BT1" t="s">
        <v>228</v>
      </c>
      <c r="BU1" t="s">
        <v>227</v>
      </c>
      <c r="BV1" t="s">
        <v>226</v>
      </c>
      <c r="BW1" t="s">
        <v>225</v>
      </c>
      <c r="BX1" t="s">
        <v>224</v>
      </c>
      <c r="BY1" t="s">
        <v>223</v>
      </c>
      <c r="BZ1" t="s">
        <v>222</v>
      </c>
      <c r="CA1" t="s">
        <v>221</v>
      </c>
      <c r="CB1" t="s">
        <v>220</v>
      </c>
      <c r="CC1" t="s">
        <v>219</v>
      </c>
      <c r="CD1" t="s">
        <v>218</v>
      </c>
      <c r="CE1" t="s">
        <v>217</v>
      </c>
      <c r="CF1" t="s">
        <v>216</v>
      </c>
      <c r="CG1" t="s">
        <v>215</v>
      </c>
      <c r="CH1" t="s">
        <v>214</v>
      </c>
      <c r="CI1" t="s">
        <v>213</v>
      </c>
      <c r="CJ1" t="s">
        <v>212</v>
      </c>
      <c r="CK1" t="s">
        <v>211</v>
      </c>
      <c r="CL1" t="s">
        <v>210</v>
      </c>
      <c r="CM1" t="s">
        <v>209</v>
      </c>
      <c r="CN1" t="s">
        <v>208</v>
      </c>
      <c r="CO1" t="s">
        <v>207</v>
      </c>
      <c r="CP1" t="s">
        <v>206</v>
      </c>
      <c r="CQ1" t="s">
        <v>205</v>
      </c>
      <c r="CR1" t="s">
        <v>204</v>
      </c>
      <c r="CS1" t="s">
        <v>203</v>
      </c>
      <c r="CT1" t="s">
        <v>202</v>
      </c>
      <c r="CU1" t="s">
        <v>201</v>
      </c>
      <c r="CV1" t="s">
        <v>200</v>
      </c>
      <c r="CW1" t="s">
        <v>199</v>
      </c>
      <c r="CX1" t="s">
        <v>198</v>
      </c>
      <c r="CY1" t="s">
        <v>197</v>
      </c>
      <c r="CZ1" t="s">
        <v>196</v>
      </c>
      <c r="DA1" t="s">
        <v>195</v>
      </c>
      <c r="DB1" t="s">
        <v>194</v>
      </c>
      <c r="DC1" t="s">
        <v>193</v>
      </c>
      <c r="DD1" t="s">
        <v>192</v>
      </c>
      <c r="DE1" t="s">
        <v>191</v>
      </c>
      <c r="DF1" t="s">
        <v>190</v>
      </c>
      <c r="DG1" t="s">
        <v>189</v>
      </c>
      <c r="DH1" t="s">
        <v>188</v>
      </c>
      <c r="DI1" t="s">
        <v>187</v>
      </c>
      <c r="DJ1" t="s">
        <v>186</v>
      </c>
      <c r="DK1" t="s">
        <v>185</v>
      </c>
      <c r="DL1" t="s">
        <v>184</v>
      </c>
      <c r="DM1" t="s">
        <v>183</v>
      </c>
      <c r="DN1" t="s">
        <v>182</v>
      </c>
      <c r="DO1" t="s">
        <v>181</v>
      </c>
      <c r="DP1" t="s">
        <v>180</v>
      </c>
      <c r="DQ1" t="s">
        <v>179</v>
      </c>
      <c r="DR1" t="s">
        <v>178</v>
      </c>
      <c r="DS1" t="s">
        <v>177</v>
      </c>
      <c r="DT1" t="s">
        <v>176</v>
      </c>
      <c r="DU1" t="s">
        <v>175</v>
      </c>
      <c r="DV1" t="s">
        <v>174</v>
      </c>
      <c r="DW1" t="s">
        <v>173</v>
      </c>
      <c r="DX1" t="s">
        <v>172</v>
      </c>
      <c r="DY1" t="s">
        <v>171</v>
      </c>
      <c r="DZ1" t="s">
        <v>170</v>
      </c>
      <c r="EA1" t="s">
        <v>169</v>
      </c>
      <c r="EB1" t="s">
        <v>168</v>
      </c>
      <c r="EC1" t="s">
        <v>167</v>
      </c>
      <c r="ED1" t="s">
        <v>166</v>
      </c>
      <c r="EE1" t="s">
        <v>165</v>
      </c>
      <c r="EF1" t="s">
        <v>164</v>
      </c>
      <c r="EG1" t="s">
        <v>163</v>
      </c>
      <c r="EH1" t="s">
        <v>162</v>
      </c>
      <c r="EI1" t="s">
        <v>161</v>
      </c>
      <c r="EJ1" t="s">
        <v>160</v>
      </c>
      <c r="EK1" t="s">
        <v>159</v>
      </c>
      <c r="EL1" t="s">
        <v>158</v>
      </c>
      <c r="EM1" t="s">
        <v>157</v>
      </c>
      <c r="EN1" t="s">
        <v>156</v>
      </c>
      <c r="EO1" t="s">
        <v>155</v>
      </c>
      <c r="EP1" t="s">
        <v>154</v>
      </c>
      <c r="EQ1" t="s">
        <v>153</v>
      </c>
      <c r="ER1" t="s">
        <v>152</v>
      </c>
      <c r="ES1" t="s">
        <v>151</v>
      </c>
      <c r="ET1" t="s">
        <v>150</v>
      </c>
      <c r="EU1" t="s">
        <v>149</v>
      </c>
      <c r="EV1" t="s">
        <v>148</v>
      </c>
      <c r="EW1" t="s">
        <v>147</v>
      </c>
      <c r="EX1" t="s">
        <v>146</v>
      </c>
      <c r="EY1" t="s">
        <v>145</v>
      </c>
      <c r="EZ1" t="s">
        <v>26</v>
      </c>
    </row>
    <row r="2" spans="1:160" x14ac:dyDescent="0.25">
      <c r="A2">
        <v>12712412</v>
      </c>
      <c r="B2" t="s">
        <v>141</v>
      </c>
      <c r="C2" t="s">
        <v>141</v>
      </c>
      <c r="D2" t="s">
        <v>141</v>
      </c>
      <c r="E2" t="s">
        <v>141</v>
      </c>
      <c r="F2" t="s">
        <v>141</v>
      </c>
      <c r="G2" t="s">
        <v>141</v>
      </c>
      <c r="H2" t="s">
        <v>141</v>
      </c>
      <c r="I2" s="99">
        <v>41028</v>
      </c>
      <c r="J2" s="98">
        <v>0.61805555555555558</v>
      </c>
      <c r="L2">
        <v>20</v>
      </c>
      <c r="M2">
        <v>1585</v>
      </c>
      <c r="N2" t="s">
        <v>142</v>
      </c>
      <c r="O2" t="s">
        <v>142</v>
      </c>
      <c r="P2">
        <v>29.530329999999999</v>
      </c>
      <c r="Q2">
        <v>-95.336119999999994</v>
      </c>
      <c r="R2">
        <v>15</v>
      </c>
      <c r="S2">
        <v>101</v>
      </c>
      <c r="U2">
        <v>1</v>
      </c>
      <c r="X2" t="s">
        <v>323</v>
      </c>
      <c r="Z2" t="s">
        <v>141</v>
      </c>
      <c r="AA2" t="s">
        <v>141</v>
      </c>
      <c r="AB2">
        <v>30</v>
      </c>
      <c r="AC2" t="s">
        <v>141</v>
      </c>
      <c r="AD2" t="s">
        <v>141</v>
      </c>
      <c r="AE2" t="s">
        <v>141</v>
      </c>
      <c r="AF2">
        <v>19</v>
      </c>
      <c r="AL2" t="s">
        <v>324</v>
      </c>
      <c r="AM2" t="s">
        <v>143</v>
      </c>
      <c r="AS2">
        <v>11</v>
      </c>
      <c r="AT2">
        <v>1</v>
      </c>
      <c r="AU2">
        <v>0</v>
      </c>
      <c r="AW2">
        <v>1</v>
      </c>
      <c r="AX2">
        <v>1</v>
      </c>
      <c r="AY2">
        <v>11</v>
      </c>
      <c r="AZ2">
        <v>10000</v>
      </c>
      <c r="BA2">
        <v>8</v>
      </c>
      <c r="BB2">
        <v>2</v>
      </c>
      <c r="BC2">
        <v>2</v>
      </c>
      <c r="BD2">
        <v>22</v>
      </c>
      <c r="BE2">
        <v>64</v>
      </c>
      <c r="BF2">
        <v>42</v>
      </c>
      <c r="BG2">
        <v>1</v>
      </c>
      <c r="BH2">
        <v>4</v>
      </c>
      <c r="BI2">
        <v>1</v>
      </c>
      <c r="BJ2">
        <v>21</v>
      </c>
      <c r="BK2">
        <v>21</v>
      </c>
      <c r="BL2">
        <v>20</v>
      </c>
      <c r="BM2">
        <v>1585</v>
      </c>
      <c r="BN2">
        <v>29.530275679999999</v>
      </c>
      <c r="BO2">
        <v>-95.336119600000004</v>
      </c>
      <c r="BT2" t="s">
        <v>325</v>
      </c>
      <c r="BU2">
        <v>7452</v>
      </c>
      <c r="CD2" t="s">
        <v>326</v>
      </c>
      <c r="CI2" t="s">
        <v>142</v>
      </c>
      <c r="CJ2" t="s">
        <v>141</v>
      </c>
      <c r="CK2" t="s">
        <v>142</v>
      </c>
      <c r="CL2">
        <v>5</v>
      </c>
      <c r="CM2">
        <v>0</v>
      </c>
      <c r="CN2" t="s">
        <v>142</v>
      </c>
      <c r="CO2" t="s">
        <v>327</v>
      </c>
      <c r="ES2">
        <v>0</v>
      </c>
      <c r="ET2">
        <v>0</v>
      </c>
      <c r="EU2">
        <v>0</v>
      </c>
      <c r="EV2">
        <v>3</v>
      </c>
      <c r="EW2">
        <v>0</v>
      </c>
      <c r="EX2">
        <v>0</v>
      </c>
      <c r="EY2">
        <v>0</v>
      </c>
      <c r="EZ2">
        <v>2012</v>
      </c>
      <c r="FA2">
        <v>2012</v>
      </c>
      <c r="FB2">
        <v>20</v>
      </c>
      <c r="FC2">
        <v>101</v>
      </c>
      <c r="FD2" t="s">
        <v>323</v>
      </c>
    </row>
    <row r="3" spans="1:160" x14ac:dyDescent="0.25">
      <c r="A3">
        <v>12954856</v>
      </c>
      <c r="B3" t="s">
        <v>141</v>
      </c>
      <c r="C3" t="s">
        <v>141</v>
      </c>
      <c r="D3" t="s">
        <v>141</v>
      </c>
      <c r="E3" t="s">
        <v>141</v>
      </c>
      <c r="F3" t="s">
        <v>141</v>
      </c>
      <c r="G3" t="s">
        <v>141</v>
      </c>
      <c r="H3" t="s">
        <v>141</v>
      </c>
      <c r="I3" s="99">
        <v>41195</v>
      </c>
      <c r="J3" s="98">
        <v>0.19930555555555554</v>
      </c>
      <c r="K3" t="s">
        <v>328</v>
      </c>
      <c r="L3">
        <v>20</v>
      </c>
      <c r="M3">
        <v>1585</v>
      </c>
      <c r="N3" t="s">
        <v>142</v>
      </c>
      <c r="O3" t="s">
        <v>142</v>
      </c>
      <c r="R3">
        <v>15</v>
      </c>
      <c r="S3">
        <v>101</v>
      </c>
      <c r="U3">
        <v>1</v>
      </c>
      <c r="V3">
        <v>5000</v>
      </c>
      <c r="X3" t="s">
        <v>325</v>
      </c>
      <c r="Y3" t="s">
        <v>143</v>
      </c>
      <c r="Z3" t="s">
        <v>141</v>
      </c>
      <c r="AA3" t="s">
        <v>141</v>
      </c>
      <c r="AB3">
        <v>30</v>
      </c>
      <c r="AC3" t="s">
        <v>141</v>
      </c>
      <c r="AD3" t="s">
        <v>141</v>
      </c>
      <c r="AE3" t="s">
        <v>142</v>
      </c>
      <c r="AF3">
        <v>15</v>
      </c>
      <c r="AG3" t="s">
        <v>329</v>
      </c>
      <c r="AI3">
        <v>1</v>
      </c>
      <c r="AK3" t="s">
        <v>141</v>
      </c>
      <c r="AL3" t="s">
        <v>330</v>
      </c>
      <c r="AM3" t="s">
        <v>143</v>
      </c>
      <c r="AS3">
        <v>5</v>
      </c>
      <c r="AT3">
        <v>3</v>
      </c>
      <c r="AU3">
        <v>2</v>
      </c>
      <c r="AW3">
        <v>1</v>
      </c>
      <c r="AX3">
        <v>1</v>
      </c>
      <c r="AY3">
        <v>1</v>
      </c>
      <c r="AZ3">
        <v>148</v>
      </c>
      <c r="BA3">
        <v>8</v>
      </c>
      <c r="BB3">
        <v>7</v>
      </c>
      <c r="BC3">
        <v>2</v>
      </c>
      <c r="BD3">
        <v>1</v>
      </c>
      <c r="BE3">
        <v>30</v>
      </c>
      <c r="BF3">
        <v>3</v>
      </c>
      <c r="BG3">
        <v>1</v>
      </c>
      <c r="BH3">
        <v>4</v>
      </c>
      <c r="BI3">
        <v>2</v>
      </c>
      <c r="BJ3">
        <v>21</v>
      </c>
      <c r="BK3">
        <v>21</v>
      </c>
      <c r="BL3">
        <v>20</v>
      </c>
      <c r="BM3">
        <v>1585</v>
      </c>
      <c r="BT3" t="s">
        <v>331</v>
      </c>
      <c r="CD3" t="s">
        <v>332</v>
      </c>
      <c r="CI3" t="s">
        <v>142</v>
      </c>
      <c r="CJ3" t="s">
        <v>141</v>
      </c>
      <c r="CK3" t="s">
        <v>142</v>
      </c>
      <c r="CL3">
        <v>0</v>
      </c>
      <c r="CM3">
        <v>0</v>
      </c>
      <c r="CN3" t="s">
        <v>141</v>
      </c>
      <c r="CO3" t="s">
        <v>144</v>
      </c>
      <c r="ES3">
        <v>0</v>
      </c>
      <c r="ET3">
        <v>0</v>
      </c>
      <c r="EU3">
        <v>0</v>
      </c>
      <c r="EV3">
        <v>0</v>
      </c>
      <c r="EW3">
        <v>0</v>
      </c>
      <c r="EX3">
        <v>0</v>
      </c>
      <c r="EY3">
        <v>0</v>
      </c>
      <c r="EZ3">
        <v>2012</v>
      </c>
      <c r="FA3">
        <v>2012</v>
      </c>
      <c r="FB3">
        <v>20</v>
      </c>
      <c r="FC3">
        <v>101</v>
      </c>
      <c r="FD3" t="s">
        <v>325</v>
      </c>
    </row>
    <row r="4" spans="1:160" x14ac:dyDescent="0.25">
      <c r="A4">
        <v>12901868</v>
      </c>
      <c r="B4" t="s">
        <v>141</v>
      </c>
      <c r="C4" t="s">
        <v>141</v>
      </c>
      <c r="D4" t="s">
        <v>141</v>
      </c>
      <c r="E4" t="s">
        <v>141</v>
      </c>
      <c r="F4" t="s">
        <v>141</v>
      </c>
      <c r="G4" t="s">
        <v>141</v>
      </c>
      <c r="H4" t="s">
        <v>141</v>
      </c>
      <c r="I4" s="99">
        <v>41170</v>
      </c>
      <c r="J4" s="98">
        <v>0.86597222222222225</v>
      </c>
      <c r="K4" t="s">
        <v>333</v>
      </c>
      <c r="L4">
        <v>20</v>
      </c>
      <c r="M4">
        <v>1585</v>
      </c>
      <c r="N4" t="s">
        <v>142</v>
      </c>
      <c r="O4" t="s">
        <v>142</v>
      </c>
      <c r="R4">
        <v>15</v>
      </c>
      <c r="S4">
        <v>101</v>
      </c>
      <c r="U4">
        <v>1</v>
      </c>
      <c r="X4" t="s">
        <v>321</v>
      </c>
      <c r="Z4" t="s">
        <v>141</v>
      </c>
      <c r="AA4" t="s">
        <v>141</v>
      </c>
      <c r="AB4">
        <v>35</v>
      </c>
      <c r="AC4" t="s">
        <v>141</v>
      </c>
      <c r="AD4" t="s">
        <v>141</v>
      </c>
      <c r="AE4" t="s">
        <v>141</v>
      </c>
      <c r="AF4">
        <v>15</v>
      </c>
      <c r="AL4" t="s">
        <v>334</v>
      </c>
      <c r="AM4" t="s">
        <v>335</v>
      </c>
      <c r="AS4">
        <v>11</v>
      </c>
      <c r="AT4">
        <v>3</v>
      </c>
      <c r="AU4">
        <v>2</v>
      </c>
      <c r="AW4">
        <v>1</v>
      </c>
      <c r="AX4">
        <v>1</v>
      </c>
      <c r="AY4">
        <v>11</v>
      </c>
      <c r="AZ4">
        <v>148</v>
      </c>
      <c r="BA4">
        <v>8</v>
      </c>
      <c r="BB4">
        <v>2</v>
      </c>
      <c r="BC4">
        <v>4</v>
      </c>
      <c r="BD4">
        <v>30</v>
      </c>
      <c r="BE4">
        <v>64</v>
      </c>
      <c r="BF4">
        <v>54</v>
      </c>
      <c r="BG4">
        <v>1</v>
      </c>
      <c r="BH4">
        <v>4</v>
      </c>
      <c r="BI4">
        <v>1</v>
      </c>
      <c r="BJ4">
        <v>21</v>
      </c>
      <c r="BK4">
        <v>21</v>
      </c>
      <c r="BL4">
        <v>20</v>
      </c>
      <c r="BM4">
        <v>1585</v>
      </c>
      <c r="BT4" t="s">
        <v>331</v>
      </c>
      <c r="CD4" t="s">
        <v>322</v>
      </c>
      <c r="CI4" t="s">
        <v>142</v>
      </c>
      <c r="CJ4" t="s">
        <v>141</v>
      </c>
      <c r="CK4" t="s">
        <v>142</v>
      </c>
      <c r="CL4">
        <v>1</v>
      </c>
      <c r="CM4">
        <v>0</v>
      </c>
      <c r="CN4" t="s">
        <v>141</v>
      </c>
      <c r="CO4" t="s">
        <v>336</v>
      </c>
      <c r="ES4">
        <v>1</v>
      </c>
      <c r="ET4">
        <v>2</v>
      </c>
      <c r="EU4">
        <v>0</v>
      </c>
      <c r="EV4">
        <v>0</v>
      </c>
      <c r="EW4">
        <v>0</v>
      </c>
      <c r="EX4">
        <v>3</v>
      </c>
      <c r="EY4">
        <v>0</v>
      </c>
      <c r="EZ4">
        <v>2012</v>
      </c>
      <c r="FA4">
        <v>2012</v>
      </c>
      <c r="FB4">
        <v>20</v>
      </c>
      <c r="FC4">
        <v>101</v>
      </c>
      <c r="FD4" t="s">
        <v>321</v>
      </c>
    </row>
    <row r="5" spans="1:160" x14ac:dyDescent="0.25">
      <c r="A5">
        <v>12034797</v>
      </c>
      <c r="B5" t="s">
        <v>141</v>
      </c>
      <c r="C5" t="s">
        <v>141</v>
      </c>
      <c r="D5" t="s">
        <v>141</v>
      </c>
      <c r="E5" t="s">
        <v>141</v>
      </c>
      <c r="F5" t="s">
        <v>141</v>
      </c>
      <c r="G5" t="s">
        <v>141</v>
      </c>
      <c r="H5" t="s">
        <v>141</v>
      </c>
      <c r="I5" s="99">
        <v>40660</v>
      </c>
      <c r="J5" s="98">
        <v>0.4069444444444445</v>
      </c>
      <c r="K5" t="s">
        <v>337</v>
      </c>
      <c r="L5">
        <v>20</v>
      </c>
      <c r="M5">
        <v>326</v>
      </c>
      <c r="N5" t="s">
        <v>141</v>
      </c>
      <c r="O5" t="s">
        <v>142</v>
      </c>
      <c r="R5">
        <v>19</v>
      </c>
      <c r="U5">
        <v>1</v>
      </c>
      <c r="V5">
        <v>7200</v>
      </c>
      <c r="X5" t="s">
        <v>338</v>
      </c>
      <c r="Y5" t="s">
        <v>143</v>
      </c>
      <c r="Z5" t="s">
        <v>141</v>
      </c>
      <c r="AA5" t="s">
        <v>141</v>
      </c>
      <c r="AB5">
        <v>35</v>
      </c>
      <c r="AC5" t="s">
        <v>141</v>
      </c>
      <c r="AD5" t="s">
        <v>141</v>
      </c>
      <c r="AE5" t="s">
        <v>142</v>
      </c>
      <c r="AF5">
        <v>4</v>
      </c>
      <c r="AG5">
        <v>1128</v>
      </c>
      <c r="AI5">
        <v>1</v>
      </c>
      <c r="AL5" t="s">
        <v>339</v>
      </c>
      <c r="AM5" t="s">
        <v>143</v>
      </c>
      <c r="AS5">
        <v>11</v>
      </c>
      <c r="AT5">
        <v>1</v>
      </c>
      <c r="AU5">
        <v>4</v>
      </c>
      <c r="AV5">
        <v>1</v>
      </c>
      <c r="AW5">
        <v>1</v>
      </c>
      <c r="AX5">
        <v>1</v>
      </c>
      <c r="AY5">
        <v>5</v>
      </c>
      <c r="AZ5">
        <v>1917</v>
      </c>
      <c r="BA5">
        <v>8</v>
      </c>
      <c r="BB5">
        <v>2</v>
      </c>
      <c r="BC5">
        <v>1</v>
      </c>
      <c r="BD5">
        <v>22</v>
      </c>
      <c r="BE5">
        <v>64</v>
      </c>
      <c r="BF5">
        <v>42</v>
      </c>
      <c r="BG5">
        <v>1</v>
      </c>
      <c r="BH5">
        <v>3</v>
      </c>
      <c r="BI5">
        <v>1</v>
      </c>
      <c r="BJ5">
        <v>21</v>
      </c>
      <c r="BK5">
        <v>21</v>
      </c>
      <c r="BL5">
        <v>20</v>
      </c>
      <c r="BM5">
        <v>1585</v>
      </c>
      <c r="BN5">
        <v>29.530362830000001</v>
      </c>
      <c r="BO5">
        <v>-95.330555840000002</v>
      </c>
      <c r="BP5" t="s">
        <v>340</v>
      </c>
      <c r="BQ5">
        <v>1128</v>
      </c>
      <c r="BS5">
        <v>1.9910000000000001</v>
      </c>
      <c r="BT5" t="s">
        <v>341</v>
      </c>
      <c r="BU5">
        <v>4299</v>
      </c>
      <c r="BV5">
        <v>1684</v>
      </c>
      <c r="BW5">
        <v>1</v>
      </c>
      <c r="BX5">
        <v>2.9540000000000002</v>
      </c>
      <c r="BY5">
        <v>486</v>
      </c>
      <c r="BZ5">
        <v>-1.0999999999999999E-2</v>
      </c>
      <c r="CD5" t="s">
        <v>325</v>
      </c>
      <c r="CI5" t="s">
        <v>142</v>
      </c>
      <c r="CJ5" t="s">
        <v>142</v>
      </c>
      <c r="CK5" t="s">
        <v>142</v>
      </c>
      <c r="CL5">
        <v>5</v>
      </c>
      <c r="CM5">
        <v>0</v>
      </c>
      <c r="CN5" t="s">
        <v>142</v>
      </c>
      <c r="CO5" t="s">
        <v>342</v>
      </c>
      <c r="CP5">
        <v>2</v>
      </c>
      <c r="CQ5">
        <v>0</v>
      </c>
      <c r="CR5">
        <v>5</v>
      </c>
      <c r="CS5">
        <v>5</v>
      </c>
      <c r="CT5">
        <v>0</v>
      </c>
      <c r="CU5">
        <v>2</v>
      </c>
      <c r="CV5">
        <v>2</v>
      </c>
      <c r="CW5">
        <v>105</v>
      </c>
      <c r="CX5">
        <v>40</v>
      </c>
      <c r="CY5">
        <v>24</v>
      </c>
      <c r="CZ5">
        <v>4</v>
      </c>
      <c r="DA5">
        <v>0</v>
      </c>
      <c r="DB5">
        <v>0</v>
      </c>
      <c r="DC5">
        <v>2</v>
      </c>
      <c r="DD5">
        <v>5</v>
      </c>
      <c r="DE5">
        <v>5</v>
      </c>
      <c r="DF5">
        <v>2</v>
      </c>
      <c r="DG5">
        <v>5</v>
      </c>
      <c r="DH5">
        <v>5</v>
      </c>
      <c r="DI5">
        <v>0</v>
      </c>
      <c r="DJ5">
        <v>0</v>
      </c>
      <c r="DK5">
        <v>4</v>
      </c>
      <c r="DL5">
        <v>16</v>
      </c>
      <c r="DM5">
        <v>9300</v>
      </c>
      <c r="DN5">
        <v>2011</v>
      </c>
      <c r="DO5">
        <v>9300</v>
      </c>
      <c r="DP5">
        <v>2.2999999999999998</v>
      </c>
      <c r="DQ5">
        <v>2.2000000000000002</v>
      </c>
      <c r="DR5">
        <v>4.7</v>
      </c>
      <c r="ES5">
        <v>0</v>
      </c>
      <c r="ET5">
        <v>0</v>
      </c>
      <c r="EU5">
        <v>0</v>
      </c>
      <c r="EV5">
        <v>3</v>
      </c>
      <c r="EW5">
        <v>0</v>
      </c>
      <c r="EX5">
        <v>0</v>
      </c>
      <c r="EY5">
        <v>0</v>
      </c>
      <c r="EZ5">
        <v>2011</v>
      </c>
      <c r="FA5">
        <v>2011</v>
      </c>
      <c r="FB5">
        <v>20</v>
      </c>
      <c r="FD5" t="s">
        <v>338</v>
      </c>
    </row>
    <row r="6" spans="1:160" x14ac:dyDescent="0.25">
      <c r="A6">
        <v>11395209</v>
      </c>
      <c r="B6" t="s">
        <v>141</v>
      </c>
      <c r="C6" t="s">
        <v>141</v>
      </c>
      <c r="D6" t="s">
        <v>141</v>
      </c>
      <c r="E6" t="s">
        <v>141</v>
      </c>
      <c r="F6" t="s">
        <v>141</v>
      </c>
      <c r="G6" t="s">
        <v>141</v>
      </c>
      <c r="H6" t="s">
        <v>141</v>
      </c>
      <c r="I6" s="99">
        <v>40322</v>
      </c>
      <c r="J6" s="98">
        <v>0.4152777777777778</v>
      </c>
      <c r="K6" t="s">
        <v>343</v>
      </c>
      <c r="L6">
        <v>20</v>
      </c>
      <c r="M6">
        <v>326</v>
      </c>
      <c r="N6" t="s">
        <v>141</v>
      </c>
      <c r="O6" t="s">
        <v>141</v>
      </c>
      <c r="R6">
        <v>15</v>
      </c>
      <c r="S6">
        <v>101</v>
      </c>
      <c r="U6">
        <v>1</v>
      </c>
      <c r="V6">
        <v>6900</v>
      </c>
      <c r="X6" t="s">
        <v>338</v>
      </c>
      <c r="Y6" t="s">
        <v>143</v>
      </c>
      <c r="Z6" t="s">
        <v>141</v>
      </c>
      <c r="AA6" t="s">
        <v>141</v>
      </c>
      <c r="AB6">
        <v>35</v>
      </c>
      <c r="AC6" t="s">
        <v>141</v>
      </c>
      <c r="AD6" t="s">
        <v>141</v>
      </c>
      <c r="AE6" t="s">
        <v>141</v>
      </c>
      <c r="AF6">
        <v>4</v>
      </c>
      <c r="AG6">
        <v>1128</v>
      </c>
      <c r="AI6">
        <v>1</v>
      </c>
      <c r="AJ6">
        <v>4100</v>
      </c>
      <c r="AL6" t="s">
        <v>339</v>
      </c>
      <c r="AM6" t="s">
        <v>143</v>
      </c>
      <c r="AS6">
        <v>11</v>
      </c>
      <c r="AT6">
        <v>1</v>
      </c>
      <c r="AU6">
        <v>0</v>
      </c>
      <c r="AW6">
        <v>1</v>
      </c>
      <c r="AX6">
        <v>1</v>
      </c>
      <c r="AY6">
        <v>11</v>
      </c>
      <c r="AZ6">
        <v>1917</v>
      </c>
      <c r="BA6">
        <v>8</v>
      </c>
      <c r="BB6">
        <v>1</v>
      </c>
      <c r="BC6">
        <v>4</v>
      </c>
      <c r="BD6">
        <v>1</v>
      </c>
      <c r="BE6">
        <v>64</v>
      </c>
      <c r="BF6">
        <v>54</v>
      </c>
      <c r="BG6">
        <v>1</v>
      </c>
      <c r="BH6">
        <v>4</v>
      </c>
      <c r="BI6">
        <v>1</v>
      </c>
      <c r="BJ6">
        <v>21</v>
      </c>
      <c r="BK6">
        <v>21</v>
      </c>
      <c r="BL6">
        <v>20</v>
      </c>
      <c r="BM6">
        <v>326</v>
      </c>
      <c r="BN6">
        <v>29.530360460000001</v>
      </c>
      <c r="BO6">
        <v>-95.329916069999996</v>
      </c>
      <c r="BT6" t="s">
        <v>325</v>
      </c>
      <c r="BU6">
        <v>7104</v>
      </c>
      <c r="CD6" t="s">
        <v>322</v>
      </c>
      <c r="CI6" t="s">
        <v>142</v>
      </c>
      <c r="CJ6" t="s">
        <v>141</v>
      </c>
      <c r="CK6" t="s">
        <v>141</v>
      </c>
      <c r="CL6">
        <v>1</v>
      </c>
      <c r="CM6">
        <v>7</v>
      </c>
      <c r="CN6" t="s">
        <v>142</v>
      </c>
      <c r="CO6" t="s">
        <v>140</v>
      </c>
      <c r="ES6">
        <v>1</v>
      </c>
      <c r="ET6">
        <v>0</v>
      </c>
      <c r="EU6">
        <v>0</v>
      </c>
      <c r="EV6">
        <v>1</v>
      </c>
      <c r="EW6">
        <v>0</v>
      </c>
      <c r="EX6">
        <v>1</v>
      </c>
      <c r="EY6">
        <v>0</v>
      </c>
      <c r="EZ6">
        <v>2010</v>
      </c>
      <c r="FA6">
        <v>2010</v>
      </c>
      <c r="FB6">
        <v>20</v>
      </c>
      <c r="FC6">
        <v>101</v>
      </c>
      <c r="FD6" t="s">
        <v>338</v>
      </c>
    </row>
    <row r="7" spans="1:160" x14ac:dyDescent="0.25">
      <c r="A7">
        <v>12426491</v>
      </c>
      <c r="B7" t="s">
        <v>141</v>
      </c>
      <c r="C7" t="s">
        <v>141</v>
      </c>
      <c r="D7" t="s">
        <v>141</v>
      </c>
      <c r="E7" t="s">
        <v>141</v>
      </c>
      <c r="F7" t="s">
        <v>141</v>
      </c>
      <c r="G7" t="s">
        <v>141</v>
      </c>
      <c r="H7" t="s">
        <v>141</v>
      </c>
      <c r="I7" s="99">
        <v>40868</v>
      </c>
      <c r="J7" s="98">
        <v>0.44097222222222227</v>
      </c>
      <c r="K7" t="s">
        <v>344</v>
      </c>
      <c r="L7">
        <v>20</v>
      </c>
      <c r="M7">
        <v>326</v>
      </c>
      <c r="N7" t="s">
        <v>141</v>
      </c>
      <c r="O7" t="s">
        <v>142</v>
      </c>
      <c r="R7">
        <v>15</v>
      </c>
      <c r="S7">
        <v>101</v>
      </c>
      <c r="U7">
        <v>1</v>
      </c>
      <c r="V7">
        <v>7000</v>
      </c>
      <c r="X7" t="s">
        <v>338</v>
      </c>
      <c r="Y7" t="s">
        <v>143</v>
      </c>
      <c r="Z7" t="s">
        <v>141</v>
      </c>
      <c r="AA7" t="s">
        <v>141</v>
      </c>
      <c r="AB7">
        <v>35</v>
      </c>
      <c r="AC7" t="s">
        <v>141</v>
      </c>
      <c r="AD7" t="s">
        <v>141</v>
      </c>
      <c r="AE7" t="s">
        <v>142</v>
      </c>
      <c r="AF7">
        <v>4</v>
      </c>
      <c r="AG7">
        <v>1128</v>
      </c>
      <c r="AI7">
        <v>1</v>
      </c>
      <c r="AL7" t="s">
        <v>339</v>
      </c>
      <c r="AM7" t="s">
        <v>143</v>
      </c>
      <c r="AS7">
        <v>12</v>
      </c>
      <c r="AT7">
        <v>1</v>
      </c>
      <c r="AU7">
        <v>4</v>
      </c>
      <c r="AV7">
        <v>1</v>
      </c>
      <c r="AW7">
        <v>1</v>
      </c>
      <c r="AX7">
        <v>1</v>
      </c>
      <c r="AY7">
        <v>5</v>
      </c>
      <c r="AZ7">
        <v>1917</v>
      </c>
      <c r="BA7">
        <v>8</v>
      </c>
      <c r="BB7">
        <v>2</v>
      </c>
      <c r="BC7">
        <v>1</v>
      </c>
      <c r="BD7">
        <v>10</v>
      </c>
      <c r="BE7">
        <v>64</v>
      </c>
      <c r="BF7">
        <v>54</v>
      </c>
      <c r="BG7">
        <v>1</v>
      </c>
      <c r="BH7">
        <v>3</v>
      </c>
      <c r="BI7">
        <v>1</v>
      </c>
      <c r="BJ7">
        <v>21</v>
      </c>
      <c r="BK7">
        <v>21</v>
      </c>
      <c r="BL7">
        <v>20</v>
      </c>
      <c r="BM7">
        <v>1585</v>
      </c>
      <c r="BN7">
        <v>29.530362830000001</v>
      </c>
      <c r="BO7">
        <v>-95.330555840000002</v>
      </c>
      <c r="BP7" t="s">
        <v>340</v>
      </c>
      <c r="BQ7">
        <v>1128</v>
      </c>
      <c r="BS7">
        <v>1.9910000000000001</v>
      </c>
      <c r="BT7" t="s">
        <v>341</v>
      </c>
      <c r="BU7">
        <v>4299</v>
      </c>
      <c r="BV7">
        <v>1684</v>
      </c>
      <c r="BW7">
        <v>1</v>
      </c>
      <c r="BX7">
        <v>2.9540000000000002</v>
      </c>
      <c r="BY7">
        <v>486</v>
      </c>
      <c r="BZ7">
        <v>-1.0999999999999999E-2</v>
      </c>
      <c r="CD7" t="s">
        <v>331</v>
      </c>
      <c r="CI7" t="s">
        <v>142</v>
      </c>
      <c r="CJ7" t="s">
        <v>142</v>
      </c>
      <c r="CK7" t="s">
        <v>142</v>
      </c>
      <c r="CL7">
        <v>1</v>
      </c>
      <c r="CM7">
        <v>0</v>
      </c>
      <c r="CN7" t="s">
        <v>142</v>
      </c>
      <c r="CO7" t="s">
        <v>140</v>
      </c>
      <c r="CP7">
        <v>2</v>
      </c>
      <c r="CQ7">
        <v>0</v>
      </c>
      <c r="CR7">
        <v>5</v>
      </c>
      <c r="CS7">
        <v>5</v>
      </c>
      <c r="CT7">
        <v>0</v>
      </c>
      <c r="CU7">
        <v>2</v>
      </c>
      <c r="CV7">
        <v>2</v>
      </c>
      <c r="CW7">
        <v>105</v>
      </c>
      <c r="CX7">
        <v>40</v>
      </c>
      <c r="CY7">
        <v>24</v>
      </c>
      <c r="CZ7">
        <v>4</v>
      </c>
      <c r="DA7">
        <v>0</v>
      </c>
      <c r="DB7">
        <v>0</v>
      </c>
      <c r="DC7">
        <v>2</v>
      </c>
      <c r="DD7">
        <v>5</v>
      </c>
      <c r="DE7">
        <v>5</v>
      </c>
      <c r="DF7">
        <v>2</v>
      </c>
      <c r="DG7">
        <v>5</v>
      </c>
      <c r="DH7">
        <v>5</v>
      </c>
      <c r="DI7">
        <v>0</v>
      </c>
      <c r="DJ7">
        <v>0</v>
      </c>
      <c r="DK7">
        <v>4</v>
      </c>
      <c r="DL7">
        <v>16</v>
      </c>
      <c r="DM7">
        <v>9300</v>
      </c>
      <c r="DN7">
        <v>2011</v>
      </c>
      <c r="DO7">
        <v>9300</v>
      </c>
      <c r="DP7">
        <v>2.2999999999999998</v>
      </c>
      <c r="DQ7">
        <v>2.2000000000000002</v>
      </c>
      <c r="DR7">
        <v>4.7</v>
      </c>
      <c r="ES7">
        <v>1</v>
      </c>
      <c r="ET7">
        <v>0</v>
      </c>
      <c r="EU7">
        <v>2</v>
      </c>
      <c r="EV7">
        <v>1</v>
      </c>
      <c r="EW7">
        <v>0</v>
      </c>
      <c r="EX7">
        <v>3</v>
      </c>
      <c r="EY7">
        <v>0</v>
      </c>
      <c r="EZ7">
        <v>2011</v>
      </c>
      <c r="FA7">
        <v>2011</v>
      </c>
      <c r="FB7">
        <v>20</v>
      </c>
      <c r="FC7">
        <v>101</v>
      </c>
      <c r="FD7" t="s">
        <v>338</v>
      </c>
    </row>
    <row r="8" spans="1:160" x14ac:dyDescent="0.25">
      <c r="A8">
        <v>12326893</v>
      </c>
      <c r="B8" t="s">
        <v>141</v>
      </c>
      <c r="C8" t="s">
        <v>141</v>
      </c>
      <c r="D8" t="s">
        <v>141</v>
      </c>
      <c r="E8" t="s">
        <v>141</v>
      </c>
      <c r="F8" t="s">
        <v>141</v>
      </c>
      <c r="G8" t="s">
        <v>141</v>
      </c>
      <c r="H8" t="s">
        <v>141</v>
      </c>
      <c r="I8" s="99">
        <v>40835</v>
      </c>
      <c r="J8" s="98">
        <v>0.81736111111111109</v>
      </c>
      <c r="K8" t="s">
        <v>345</v>
      </c>
      <c r="L8">
        <v>20</v>
      </c>
      <c r="M8">
        <v>326</v>
      </c>
      <c r="N8" t="s">
        <v>141</v>
      </c>
      <c r="O8" t="s">
        <v>142</v>
      </c>
      <c r="R8">
        <v>15</v>
      </c>
      <c r="S8">
        <v>101</v>
      </c>
      <c r="U8">
        <v>1</v>
      </c>
      <c r="V8">
        <v>7000</v>
      </c>
      <c r="X8" t="s">
        <v>338</v>
      </c>
      <c r="Y8" t="s">
        <v>143</v>
      </c>
      <c r="Z8" t="s">
        <v>141</v>
      </c>
      <c r="AA8" t="s">
        <v>141</v>
      </c>
      <c r="AB8">
        <v>35</v>
      </c>
      <c r="AC8" t="s">
        <v>141</v>
      </c>
      <c r="AD8" t="s">
        <v>141</v>
      </c>
      <c r="AE8" t="s">
        <v>141</v>
      </c>
      <c r="AF8">
        <v>4</v>
      </c>
      <c r="AG8">
        <v>1128</v>
      </c>
      <c r="AI8">
        <v>1</v>
      </c>
      <c r="AL8" t="s">
        <v>339</v>
      </c>
      <c r="AM8" t="s">
        <v>143</v>
      </c>
      <c r="AS8">
        <v>11</v>
      </c>
      <c r="AT8">
        <v>3</v>
      </c>
      <c r="AU8">
        <v>0</v>
      </c>
      <c r="AW8">
        <v>1</v>
      </c>
      <c r="AX8">
        <v>1</v>
      </c>
      <c r="AY8">
        <v>11</v>
      </c>
      <c r="AZ8">
        <v>1917</v>
      </c>
      <c r="BA8">
        <v>8</v>
      </c>
      <c r="BB8">
        <v>2</v>
      </c>
      <c r="BC8">
        <v>3</v>
      </c>
      <c r="BD8">
        <v>10</v>
      </c>
      <c r="BE8">
        <v>64</v>
      </c>
      <c r="BF8">
        <v>14</v>
      </c>
      <c r="BG8">
        <v>1</v>
      </c>
      <c r="BH8">
        <v>4</v>
      </c>
      <c r="BI8">
        <v>1</v>
      </c>
      <c r="BJ8">
        <v>32</v>
      </c>
      <c r="BK8">
        <v>21</v>
      </c>
      <c r="BL8">
        <v>20</v>
      </c>
      <c r="BM8">
        <v>1585</v>
      </c>
      <c r="BN8">
        <v>29.530361030000002</v>
      </c>
      <c r="BO8">
        <v>-95.330483029999996</v>
      </c>
      <c r="BT8" t="s">
        <v>325</v>
      </c>
      <c r="BU8">
        <v>7116</v>
      </c>
      <c r="CD8" t="s">
        <v>322</v>
      </c>
      <c r="CI8" t="s">
        <v>142</v>
      </c>
      <c r="CJ8" t="s">
        <v>141</v>
      </c>
      <c r="CK8" t="s">
        <v>142</v>
      </c>
      <c r="CL8">
        <v>5</v>
      </c>
      <c r="CM8">
        <v>0</v>
      </c>
      <c r="CN8" t="s">
        <v>142</v>
      </c>
      <c r="CO8" t="s">
        <v>342</v>
      </c>
      <c r="ES8">
        <v>0</v>
      </c>
      <c r="ET8">
        <v>0</v>
      </c>
      <c r="EU8">
        <v>0</v>
      </c>
      <c r="EV8">
        <v>3</v>
      </c>
      <c r="EW8">
        <v>0</v>
      </c>
      <c r="EX8">
        <v>0</v>
      </c>
      <c r="EY8">
        <v>0</v>
      </c>
      <c r="EZ8">
        <v>2011</v>
      </c>
      <c r="FA8">
        <v>2011</v>
      </c>
      <c r="FB8">
        <v>20</v>
      </c>
      <c r="FC8">
        <v>101</v>
      </c>
      <c r="FD8" t="s">
        <v>338</v>
      </c>
    </row>
    <row r="9" spans="1:160" x14ac:dyDescent="0.25">
      <c r="A9">
        <v>11582739</v>
      </c>
      <c r="B9" t="s">
        <v>141</v>
      </c>
      <c r="C9" t="s">
        <v>141</v>
      </c>
      <c r="D9" t="s">
        <v>141</v>
      </c>
      <c r="E9" t="s">
        <v>141</v>
      </c>
      <c r="F9" t="s">
        <v>141</v>
      </c>
      <c r="G9" t="s">
        <v>141</v>
      </c>
      <c r="H9" t="s">
        <v>141</v>
      </c>
      <c r="I9" s="99">
        <v>40416</v>
      </c>
      <c r="J9" s="98">
        <v>0.75</v>
      </c>
      <c r="K9" t="s">
        <v>346</v>
      </c>
      <c r="L9">
        <v>20</v>
      </c>
      <c r="M9">
        <v>326</v>
      </c>
      <c r="N9" t="s">
        <v>141</v>
      </c>
      <c r="O9" t="s">
        <v>142</v>
      </c>
      <c r="R9">
        <v>15</v>
      </c>
      <c r="S9">
        <v>101</v>
      </c>
      <c r="U9">
        <v>1</v>
      </c>
      <c r="V9">
        <v>7000</v>
      </c>
      <c r="X9" t="s">
        <v>338</v>
      </c>
      <c r="Y9" t="s">
        <v>143</v>
      </c>
      <c r="Z9" t="s">
        <v>141</v>
      </c>
      <c r="AA9" t="s">
        <v>141</v>
      </c>
      <c r="AB9">
        <v>35</v>
      </c>
      <c r="AC9" t="s">
        <v>141</v>
      </c>
      <c r="AD9" t="s">
        <v>141</v>
      </c>
      <c r="AE9" t="s">
        <v>141</v>
      </c>
      <c r="AF9">
        <v>4</v>
      </c>
      <c r="AG9">
        <v>1128</v>
      </c>
      <c r="AI9">
        <v>1</v>
      </c>
      <c r="AJ9">
        <v>4100</v>
      </c>
      <c r="AL9" t="s">
        <v>339</v>
      </c>
      <c r="AM9" t="s">
        <v>143</v>
      </c>
      <c r="AS9">
        <v>11</v>
      </c>
      <c r="AT9">
        <v>1</v>
      </c>
      <c r="AU9">
        <v>0</v>
      </c>
      <c r="AW9">
        <v>1</v>
      </c>
      <c r="AX9">
        <v>1</v>
      </c>
      <c r="AY9">
        <v>11</v>
      </c>
      <c r="AZ9">
        <v>1917</v>
      </c>
      <c r="BA9">
        <v>8</v>
      </c>
      <c r="BB9">
        <v>2</v>
      </c>
      <c r="BC9">
        <v>3</v>
      </c>
      <c r="BD9">
        <v>14</v>
      </c>
      <c r="BE9">
        <v>64</v>
      </c>
      <c r="BF9">
        <v>14</v>
      </c>
      <c r="BG9">
        <v>1</v>
      </c>
      <c r="BH9">
        <v>4</v>
      </c>
      <c r="BI9">
        <v>1</v>
      </c>
      <c r="BJ9">
        <v>32</v>
      </c>
      <c r="BK9">
        <v>21</v>
      </c>
      <c r="BL9">
        <v>20</v>
      </c>
      <c r="BM9">
        <v>1585</v>
      </c>
      <c r="BN9">
        <v>29.53036152</v>
      </c>
      <c r="BO9">
        <v>-95.330498770000005</v>
      </c>
      <c r="BT9" t="s">
        <v>325</v>
      </c>
      <c r="BU9">
        <v>7117</v>
      </c>
      <c r="CD9" t="s">
        <v>322</v>
      </c>
      <c r="CI9" t="s">
        <v>142</v>
      </c>
      <c r="CJ9" t="s">
        <v>141</v>
      </c>
      <c r="CK9" t="s">
        <v>142</v>
      </c>
      <c r="CL9">
        <v>5</v>
      </c>
      <c r="CM9">
        <v>0</v>
      </c>
      <c r="CN9" t="s">
        <v>142</v>
      </c>
      <c r="CO9" t="s">
        <v>347</v>
      </c>
      <c r="ES9">
        <v>0</v>
      </c>
      <c r="ET9">
        <v>0</v>
      </c>
      <c r="EU9">
        <v>0</v>
      </c>
      <c r="EV9">
        <v>2</v>
      </c>
      <c r="EW9">
        <v>0</v>
      </c>
      <c r="EX9">
        <v>0</v>
      </c>
      <c r="EY9">
        <v>0</v>
      </c>
      <c r="EZ9">
        <v>2010</v>
      </c>
      <c r="FA9">
        <v>2010</v>
      </c>
      <c r="FB9">
        <v>20</v>
      </c>
      <c r="FC9">
        <v>101</v>
      </c>
      <c r="FD9" t="s">
        <v>338</v>
      </c>
    </row>
    <row r="10" spans="1:160" x14ac:dyDescent="0.25">
      <c r="A10">
        <v>12621335</v>
      </c>
      <c r="B10" t="s">
        <v>141</v>
      </c>
      <c r="C10" t="s">
        <v>142</v>
      </c>
      <c r="D10" t="s">
        <v>141</v>
      </c>
      <c r="E10" t="s">
        <v>141</v>
      </c>
      <c r="F10" t="s">
        <v>141</v>
      </c>
      <c r="G10" t="s">
        <v>141</v>
      </c>
      <c r="H10" t="s">
        <v>141</v>
      </c>
      <c r="I10" s="99">
        <v>40977</v>
      </c>
      <c r="J10" s="98">
        <v>0.3888888888888889</v>
      </c>
      <c r="L10">
        <v>20</v>
      </c>
      <c r="M10">
        <v>1585</v>
      </c>
      <c r="N10" t="s">
        <v>142</v>
      </c>
      <c r="O10" t="s">
        <v>142</v>
      </c>
      <c r="P10">
        <v>29.530329999999999</v>
      </c>
      <c r="Q10">
        <v>-95.347399999999993</v>
      </c>
      <c r="R10">
        <v>15</v>
      </c>
      <c r="S10">
        <v>101</v>
      </c>
      <c r="U10">
        <v>1</v>
      </c>
      <c r="X10" t="s">
        <v>323</v>
      </c>
      <c r="Z10" t="s">
        <v>141</v>
      </c>
      <c r="AA10" t="s">
        <v>141</v>
      </c>
      <c r="AB10">
        <v>35</v>
      </c>
      <c r="AC10" t="s">
        <v>141</v>
      </c>
      <c r="AD10" t="s">
        <v>141</v>
      </c>
      <c r="AE10" t="s">
        <v>142</v>
      </c>
      <c r="AF10">
        <v>15</v>
      </c>
      <c r="AG10">
        <v>89</v>
      </c>
      <c r="AI10">
        <v>1</v>
      </c>
      <c r="AL10" t="s">
        <v>323</v>
      </c>
      <c r="AS10">
        <v>12</v>
      </c>
      <c r="AT10">
        <v>1</v>
      </c>
      <c r="AU10">
        <v>4</v>
      </c>
      <c r="AW10">
        <v>1</v>
      </c>
      <c r="AX10">
        <v>2</v>
      </c>
      <c r="AY10">
        <v>8</v>
      </c>
      <c r="AZ10">
        <v>10000</v>
      </c>
      <c r="BA10">
        <v>8</v>
      </c>
      <c r="BB10">
        <v>2</v>
      </c>
      <c r="BC10">
        <v>1</v>
      </c>
      <c r="BD10">
        <v>16</v>
      </c>
      <c r="BE10">
        <v>64</v>
      </c>
      <c r="BF10">
        <v>54</v>
      </c>
      <c r="BG10">
        <v>1</v>
      </c>
      <c r="BH10">
        <v>4</v>
      </c>
      <c r="BI10">
        <v>1</v>
      </c>
      <c r="BJ10">
        <v>21</v>
      </c>
      <c r="BK10">
        <v>21</v>
      </c>
      <c r="BL10">
        <v>20</v>
      </c>
      <c r="BM10">
        <v>326</v>
      </c>
      <c r="BN10">
        <v>29.530333779999999</v>
      </c>
      <c r="BO10">
        <v>-95.347262270000002</v>
      </c>
      <c r="BT10" t="s">
        <v>348</v>
      </c>
      <c r="BU10">
        <v>3695</v>
      </c>
      <c r="CD10" t="s">
        <v>326</v>
      </c>
      <c r="CI10" t="s">
        <v>142</v>
      </c>
      <c r="CJ10" t="s">
        <v>141</v>
      </c>
      <c r="CK10" t="s">
        <v>141</v>
      </c>
      <c r="CL10">
        <v>5</v>
      </c>
      <c r="CM10">
        <v>7</v>
      </c>
      <c r="CN10" t="s">
        <v>142</v>
      </c>
      <c r="CO10" t="s">
        <v>349</v>
      </c>
      <c r="ES10">
        <v>0</v>
      </c>
      <c r="ET10">
        <v>0</v>
      </c>
      <c r="EU10">
        <v>0</v>
      </c>
      <c r="EV10">
        <v>2</v>
      </c>
      <c r="EW10">
        <v>0</v>
      </c>
      <c r="EX10">
        <v>0</v>
      </c>
      <c r="EY10">
        <v>0</v>
      </c>
      <c r="EZ10">
        <v>2012</v>
      </c>
      <c r="FA10">
        <v>2012</v>
      </c>
      <c r="FB10">
        <v>20</v>
      </c>
      <c r="FC10">
        <v>101</v>
      </c>
      <c r="FD10" t="s">
        <v>323</v>
      </c>
    </row>
    <row r="11" spans="1:160" x14ac:dyDescent="0.25">
      <c r="A11">
        <v>13496424</v>
      </c>
      <c r="B11" t="s">
        <v>141</v>
      </c>
      <c r="C11" t="s">
        <v>141</v>
      </c>
      <c r="D11" t="s">
        <v>141</v>
      </c>
      <c r="E11" t="s">
        <v>141</v>
      </c>
      <c r="F11" t="s">
        <v>141</v>
      </c>
      <c r="G11" t="s">
        <v>141</v>
      </c>
      <c r="H11" t="s">
        <v>141</v>
      </c>
      <c r="I11" s="99">
        <v>41546</v>
      </c>
      <c r="J11" s="98">
        <v>0.4916666666666667</v>
      </c>
      <c r="L11">
        <v>20</v>
      </c>
      <c r="M11">
        <v>1585</v>
      </c>
      <c r="N11" t="s">
        <v>142</v>
      </c>
      <c r="O11" t="s">
        <v>142</v>
      </c>
      <c r="P11">
        <v>29.530169999999998</v>
      </c>
      <c r="Q11">
        <v>-95.345299999999995</v>
      </c>
      <c r="R11">
        <v>15</v>
      </c>
      <c r="S11">
        <v>101</v>
      </c>
      <c r="U11">
        <v>1</v>
      </c>
      <c r="X11" t="s">
        <v>323</v>
      </c>
      <c r="Z11" t="s">
        <v>141</v>
      </c>
      <c r="AA11" t="s">
        <v>141</v>
      </c>
      <c r="AB11">
        <v>45</v>
      </c>
      <c r="AC11" t="s">
        <v>141</v>
      </c>
      <c r="AD11" t="s">
        <v>141</v>
      </c>
      <c r="AE11" t="s">
        <v>141</v>
      </c>
      <c r="AF11">
        <v>15</v>
      </c>
      <c r="AG11">
        <v>89</v>
      </c>
      <c r="AL11" t="s">
        <v>323</v>
      </c>
      <c r="AS11">
        <v>2</v>
      </c>
      <c r="AT11">
        <v>1</v>
      </c>
      <c r="AU11">
        <v>0</v>
      </c>
      <c r="AW11">
        <v>1</v>
      </c>
      <c r="AX11">
        <v>2</v>
      </c>
      <c r="AY11">
        <v>11</v>
      </c>
      <c r="AZ11">
        <v>10000</v>
      </c>
      <c r="BA11">
        <v>8</v>
      </c>
      <c r="BB11">
        <v>10</v>
      </c>
      <c r="BC11">
        <v>4</v>
      </c>
      <c r="BD11">
        <v>1</v>
      </c>
      <c r="BE11">
        <v>1</v>
      </c>
      <c r="BF11">
        <v>3</v>
      </c>
      <c r="BG11">
        <v>1</v>
      </c>
      <c r="BH11">
        <v>4</v>
      </c>
      <c r="BI11">
        <v>2</v>
      </c>
      <c r="BJ11">
        <v>21</v>
      </c>
      <c r="BK11">
        <v>21</v>
      </c>
      <c r="BL11">
        <v>20</v>
      </c>
      <c r="BM11">
        <v>1585</v>
      </c>
      <c r="BN11">
        <v>29.53015182</v>
      </c>
      <c r="BO11">
        <v>-95.345299819999994</v>
      </c>
      <c r="BT11" t="s">
        <v>325</v>
      </c>
      <c r="BU11">
        <v>7994</v>
      </c>
      <c r="CD11" t="s">
        <v>322</v>
      </c>
      <c r="CI11" t="s">
        <v>142</v>
      </c>
      <c r="CJ11" t="s">
        <v>141</v>
      </c>
      <c r="CK11" t="s">
        <v>142</v>
      </c>
      <c r="CL11">
        <v>2</v>
      </c>
      <c r="CM11">
        <v>0</v>
      </c>
      <c r="CN11" t="s">
        <v>142</v>
      </c>
      <c r="CO11" t="s">
        <v>327</v>
      </c>
      <c r="ES11">
        <v>0</v>
      </c>
      <c r="ET11">
        <v>1</v>
      </c>
      <c r="EU11">
        <v>0</v>
      </c>
      <c r="EV11">
        <v>0</v>
      </c>
      <c r="EW11">
        <v>0</v>
      </c>
      <c r="EX11">
        <v>1</v>
      </c>
      <c r="EY11">
        <v>0</v>
      </c>
      <c r="EZ11">
        <v>2013</v>
      </c>
      <c r="FA11">
        <v>2013</v>
      </c>
      <c r="FB11">
        <v>20</v>
      </c>
      <c r="FC11">
        <v>101</v>
      </c>
      <c r="FD11" t="s">
        <v>323</v>
      </c>
    </row>
    <row r="12" spans="1:160" x14ac:dyDescent="0.25">
      <c r="A12">
        <v>13453115</v>
      </c>
      <c r="B12" t="s">
        <v>141</v>
      </c>
      <c r="C12" t="s">
        <v>141</v>
      </c>
      <c r="D12" t="s">
        <v>141</v>
      </c>
      <c r="E12" t="s">
        <v>141</v>
      </c>
      <c r="F12" t="s">
        <v>141</v>
      </c>
      <c r="G12" t="s">
        <v>141</v>
      </c>
      <c r="H12" t="s">
        <v>141</v>
      </c>
      <c r="I12" s="99">
        <v>41520</v>
      </c>
      <c r="J12" s="98">
        <v>0.36805555555555558</v>
      </c>
      <c r="L12">
        <v>20</v>
      </c>
      <c r="M12">
        <v>1585</v>
      </c>
      <c r="N12" t="s">
        <v>142</v>
      </c>
      <c r="O12" t="s">
        <v>142</v>
      </c>
      <c r="P12">
        <v>29.530329999999999</v>
      </c>
      <c r="Q12">
        <v>-95.347300000000004</v>
      </c>
      <c r="R12">
        <v>15</v>
      </c>
      <c r="S12">
        <v>101</v>
      </c>
      <c r="U12">
        <v>1</v>
      </c>
      <c r="X12" t="s">
        <v>323</v>
      </c>
      <c r="Z12" t="s">
        <v>141</v>
      </c>
      <c r="AA12" t="s">
        <v>141</v>
      </c>
      <c r="AB12">
        <v>35</v>
      </c>
      <c r="AC12" t="s">
        <v>141</v>
      </c>
      <c r="AD12" t="s">
        <v>141</v>
      </c>
      <c r="AE12" t="s">
        <v>142</v>
      </c>
      <c r="AF12">
        <v>15</v>
      </c>
      <c r="AG12">
        <v>89</v>
      </c>
      <c r="AI12">
        <v>1</v>
      </c>
      <c r="AL12" t="s">
        <v>323</v>
      </c>
      <c r="AS12">
        <v>11</v>
      </c>
      <c r="AT12">
        <v>1</v>
      </c>
      <c r="AU12">
        <v>4</v>
      </c>
      <c r="AW12">
        <v>1</v>
      </c>
      <c r="AX12">
        <v>1</v>
      </c>
      <c r="AY12">
        <v>8</v>
      </c>
      <c r="AZ12">
        <v>10000</v>
      </c>
      <c r="BA12">
        <v>8</v>
      </c>
      <c r="BB12">
        <v>2</v>
      </c>
      <c r="BC12">
        <v>1</v>
      </c>
      <c r="BD12">
        <v>10</v>
      </c>
      <c r="BE12">
        <v>64</v>
      </c>
      <c r="BF12">
        <v>54</v>
      </c>
      <c r="BG12">
        <v>1</v>
      </c>
      <c r="BH12">
        <v>4</v>
      </c>
      <c r="BI12">
        <v>1</v>
      </c>
      <c r="BJ12">
        <v>21</v>
      </c>
      <c r="BK12">
        <v>21</v>
      </c>
      <c r="BL12">
        <v>20</v>
      </c>
      <c r="BM12">
        <v>326</v>
      </c>
      <c r="BN12">
        <v>29.53033104</v>
      </c>
      <c r="BO12">
        <v>-95.347262200000003</v>
      </c>
      <c r="BT12" t="s">
        <v>348</v>
      </c>
      <c r="BU12">
        <v>3695</v>
      </c>
      <c r="CD12" t="s">
        <v>326</v>
      </c>
      <c r="CI12" t="s">
        <v>142</v>
      </c>
      <c r="CJ12" t="s">
        <v>141</v>
      </c>
      <c r="CK12" t="s">
        <v>141</v>
      </c>
      <c r="CL12">
        <v>5</v>
      </c>
      <c r="CM12">
        <v>7</v>
      </c>
      <c r="CN12" t="s">
        <v>142</v>
      </c>
      <c r="CO12" t="s">
        <v>336</v>
      </c>
      <c r="ES12">
        <v>0</v>
      </c>
      <c r="ET12">
        <v>0</v>
      </c>
      <c r="EU12">
        <v>0</v>
      </c>
      <c r="EV12">
        <v>3</v>
      </c>
      <c r="EW12">
        <v>0</v>
      </c>
      <c r="EX12">
        <v>0</v>
      </c>
      <c r="EY12">
        <v>0</v>
      </c>
      <c r="EZ12">
        <v>2013</v>
      </c>
      <c r="FA12">
        <v>2013</v>
      </c>
      <c r="FB12">
        <v>20</v>
      </c>
      <c r="FC12">
        <v>101</v>
      </c>
      <c r="FD12" t="s">
        <v>323</v>
      </c>
    </row>
    <row r="13" spans="1:160" x14ac:dyDescent="0.25">
      <c r="A13">
        <v>13447729</v>
      </c>
      <c r="B13" t="s">
        <v>141</v>
      </c>
      <c r="C13" t="s">
        <v>141</v>
      </c>
      <c r="D13" t="s">
        <v>141</v>
      </c>
      <c r="E13" t="s">
        <v>141</v>
      </c>
      <c r="F13" t="s">
        <v>141</v>
      </c>
      <c r="G13" t="s">
        <v>141</v>
      </c>
      <c r="H13" t="s">
        <v>141</v>
      </c>
      <c r="I13" s="99">
        <v>41519</v>
      </c>
      <c r="J13" s="98">
        <v>0.75138888888888899</v>
      </c>
      <c r="L13">
        <v>20</v>
      </c>
      <c r="M13">
        <v>1585</v>
      </c>
      <c r="N13" t="s">
        <v>142</v>
      </c>
      <c r="O13" t="s">
        <v>142</v>
      </c>
      <c r="P13">
        <v>29.529769999999999</v>
      </c>
      <c r="Q13">
        <v>-95.347470000000001</v>
      </c>
      <c r="R13">
        <v>15</v>
      </c>
      <c r="S13">
        <v>101</v>
      </c>
      <c r="U13">
        <v>1</v>
      </c>
      <c r="X13" t="s">
        <v>323</v>
      </c>
      <c r="Z13" t="s">
        <v>141</v>
      </c>
      <c r="AA13" t="s">
        <v>141</v>
      </c>
      <c r="AB13">
        <v>40</v>
      </c>
      <c r="AC13" t="s">
        <v>141</v>
      </c>
      <c r="AD13" t="s">
        <v>141</v>
      </c>
      <c r="AE13" t="s">
        <v>142</v>
      </c>
      <c r="AF13">
        <v>15</v>
      </c>
      <c r="AG13">
        <v>89</v>
      </c>
      <c r="AI13">
        <v>1</v>
      </c>
      <c r="AL13" t="s">
        <v>323</v>
      </c>
      <c r="AS13">
        <v>11</v>
      </c>
      <c r="AT13">
        <v>1</v>
      </c>
      <c r="AU13">
        <v>4</v>
      </c>
      <c r="AW13">
        <v>1</v>
      </c>
      <c r="AX13">
        <v>1</v>
      </c>
      <c r="AY13">
        <v>8</v>
      </c>
      <c r="AZ13">
        <v>10000</v>
      </c>
      <c r="BA13">
        <v>8</v>
      </c>
      <c r="BB13">
        <v>2</v>
      </c>
      <c r="BC13">
        <v>1</v>
      </c>
      <c r="BD13">
        <v>10</v>
      </c>
      <c r="BE13">
        <v>64</v>
      </c>
      <c r="BF13">
        <v>54</v>
      </c>
      <c r="BG13">
        <v>1</v>
      </c>
      <c r="BH13">
        <v>4</v>
      </c>
      <c r="BI13">
        <v>1</v>
      </c>
      <c r="BJ13">
        <v>21</v>
      </c>
      <c r="BK13">
        <v>21</v>
      </c>
      <c r="BL13">
        <v>20</v>
      </c>
      <c r="BM13">
        <v>1585</v>
      </c>
      <c r="BN13">
        <v>29.52977336</v>
      </c>
      <c r="BO13">
        <v>-95.34725091</v>
      </c>
      <c r="BT13" t="s">
        <v>348</v>
      </c>
      <c r="BU13">
        <v>3711</v>
      </c>
      <c r="CD13" t="s">
        <v>326</v>
      </c>
      <c r="CI13" t="s">
        <v>142</v>
      </c>
      <c r="CJ13" t="s">
        <v>141</v>
      </c>
      <c r="CK13" t="s">
        <v>142</v>
      </c>
      <c r="CL13">
        <v>2</v>
      </c>
      <c r="CM13">
        <v>0</v>
      </c>
      <c r="CN13" t="s">
        <v>142</v>
      </c>
      <c r="CO13" t="s">
        <v>140</v>
      </c>
      <c r="ES13">
        <v>0</v>
      </c>
      <c r="ET13">
        <v>2</v>
      </c>
      <c r="EU13">
        <v>0</v>
      </c>
      <c r="EV13">
        <v>1</v>
      </c>
      <c r="EW13">
        <v>0</v>
      </c>
      <c r="EX13">
        <v>2</v>
      </c>
      <c r="EY13">
        <v>0</v>
      </c>
      <c r="EZ13">
        <v>2013</v>
      </c>
      <c r="FA13">
        <v>2013</v>
      </c>
      <c r="FB13">
        <v>20</v>
      </c>
      <c r="FC13">
        <v>101</v>
      </c>
      <c r="FD13" t="s">
        <v>323</v>
      </c>
    </row>
    <row r="14" spans="1:160" x14ac:dyDescent="0.25">
      <c r="A14">
        <v>12919061</v>
      </c>
      <c r="B14" t="s">
        <v>141</v>
      </c>
      <c r="C14" t="s">
        <v>141</v>
      </c>
      <c r="D14" t="s">
        <v>141</v>
      </c>
      <c r="E14" t="s">
        <v>141</v>
      </c>
      <c r="F14" t="s">
        <v>141</v>
      </c>
      <c r="G14" t="s">
        <v>141</v>
      </c>
      <c r="H14" t="s">
        <v>141</v>
      </c>
      <c r="I14" s="99">
        <v>41179</v>
      </c>
      <c r="J14" s="98">
        <v>4.8611111111111112E-2</v>
      </c>
      <c r="K14" t="s">
        <v>350</v>
      </c>
      <c r="L14">
        <v>20</v>
      </c>
      <c r="M14">
        <v>326</v>
      </c>
      <c r="N14" t="s">
        <v>141</v>
      </c>
      <c r="O14" t="s">
        <v>141</v>
      </c>
      <c r="R14">
        <v>15</v>
      </c>
      <c r="S14">
        <v>101</v>
      </c>
      <c r="U14">
        <v>1</v>
      </c>
      <c r="V14">
        <v>4000</v>
      </c>
      <c r="X14" t="s">
        <v>338</v>
      </c>
      <c r="Y14" t="s">
        <v>143</v>
      </c>
      <c r="Z14" t="s">
        <v>141</v>
      </c>
      <c r="AA14" t="s">
        <v>141</v>
      </c>
      <c r="AB14">
        <v>35</v>
      </c>
      <c r="AC14" t="s">
        <v>141</v>
      </c>
      <c r="AD14" t="s">
        <v>141</v>
      </c>
      <c r="AE14" t="s">
        <v>141</v>
      </c>
      <c r="AF14">
        <v>15</v>
      </c>
      <c r="AG14">
        <v>89</v>
      </c>
      <c r="AI14">
        <v>1</v>
      </c>
      <c r="AL14" t="s">
        <v>323</v>
      </c>
      <c r="AS14">
        <v>11</v>
      </c>
      <c r="AT14">
        <v>3</v>
      </c>
      <c r="AU14">
        <v>0</v>
      </c>
      <c r="AW14">
        <v>1</v>
      </c>
      <c r="AX14">
        <v>1</v>
      </c>
      <c r="AY14">
        <v>1</v>
      </c>
      <c r="AZ14">
        <v>148</v>
      </c>
      <c r="BA14">
        <v>8</v>
      </c>
      <c r="BB14">
        <v>7</v>
      </c>
      <c r="BC14">
        <v>3</v>
      </c>
      <c r="BD14">
        <v>3</v>
      </c>
      <c r="BE14">
        <v>62</v>
      </c>
      <c r="BF14">
        <v>13</v>
      </c>
      <c r="BG14">
        <v>1</v>
      </c>
      <c r="BH14">
        <v>4</v>
      </c>
      <c r="BI14">
        <v>2</v>
      </c>
      <c r="BJ14">
        <v>32</v>
      </c>
      <c r="BK14">
        <v>21</v>
      </c>
      <c r="BL14">
        <v>20</v>
      </c>
      <c r="BM14">
        <v>1585</v>
      </c>
      <c r="BN14">
        <v>29.53002416</v>
      </c>
      <c r="BO14">
        <v>-95.351389440000005</v>
      </c>
      <c r="BT14" t="s">
        <v>325</v>
      </c>
      <c r="BU14">
        <v>4425</v>
      </c>
      <c r="CD14" t="s">
        <v>322</v>
      </c>
      <c r="CI14" t="s">
        <v>142</v>
      </c>
      <c r="CJ14" t="s">
        <v>141</v>
      </c>
      <c r="CK14" t="s">
        <v>142</v>
      </c>
      <c r="CL14">
        <v>2</v>
      </c>
      <c r="CM14">
        <v>0</v>
      </c>
      <c r="CN14" t="s">
        <v>142</v>
      </c>
      <c r="CO14" t="s">
        <v>347</v>
      </c>
      <c r="ES14">
        <v>0</v>
      </c>
      <c r="ET14">
        <v>1</v>
      </c>
      <c r="EU14">
        <v>0</v>
      </c>
      <c r="EV14">
        <v>0</v>
      </c>
      <c r="EW14">
        <v>0</v>
      </c>
      <c r="EX14">
        <v>1</v>
      </c>
      <c r="EY14">
        <v>0</v>
      </c>
      <c r="EZ14">
        <v>2012</v>
      </c>
      <c r="FA14">
        <v>2012</v>
      </c>
      <c r="FB14">
        <v>20</v>
      </c>
      <c r="FC14">
        <v>101</v>
      </c>
      <c r="FD14" t="s">
        <v>338</v>
      </c>
    </row>
    <row r="15" spans="1:160" x14ac:dyDescent="0.25">
      <c r="A15">
        <v>13367080</v>
      </c>
      <c r="B15" t="s">
        <v>141</v>
      </c>
      <c r="C15" t="s">
        <v>141</v>
      </c>
      <c r="D15" t="s">
        <v>141</v>
      </c>
      <c r="E15" t="s">
        <v>141</v>
      </c>
      <c r="F15" t="s">
        <v>141</v>
      </c>
      <c r="G15" t="s">
        <v>141</v>
      </c>
      <c r="H15" t="s">
        <v>141</v>
      </c>
      <c r="I15" s="99">
        <v>41455</v>
      </c>
      <c r="J15" s="98">
        <v>0.53472222222222221</v>
      </c>
      <c r="L15">
        <v>20</v>
      </c>
      <c r="M15">
        <v>1585</v>
      </c>
      <c r="N15" t="s">
        <v>142</v>
      </c>
      <c r="O15" t="s">
        <v>142</v>
      </c>
      <c r="P15">
        <v>29.530180000000001</v>
      </c>
      <c r="Q15">
        <v>-95.347660000000005</v>
      </c>
      <c r="R15">
        <v>15</v>
      </c>
      <c r="S15">
        <v>101</v>
      </c>
      <c r="U15">
        <v>1</v>
      </c>
      <c r="X15" t="s">
        <v>323</v>
      </c>
      <c r="Z15" t="s">
        <v>141</v>
      </c>
      <c r="AA15" t="s">
        <v>141</v>
      </c>
      <c r="AB15">
        <v>35</v>
      </c>
      <c r="AC15" t="s">
        <v>141</v>
      </c>
      <c r="AD15" t="s">
        <v>141</v>
      </c>
      <c r="AE15" t="s">
        <v>141</v>
      </c>
      <c r="AF15">
        <v>15</v>
      </c>
      <c r="AG15">
        <v>89</v>
      </c>
      <c r="AL15" t="s">
        <v>323</v>
      </c>
      <c r="AS15">
        <v>11</v>
      </c>
      <c r="AT15">
        <v>1</v>
      </c>
      <c r="AU15">
        <v>0</v>
      </c>
      <c r="AW15">
        <v>1</v>
      </c>
      <c r="AX15">
        <v>1</v>
      </c>
      <c r="AY15">
        <v>8</v>
      </c>
      <c r="AZ15">
        <v>10000</v>
      </c>
      <c r="BA15">
        <v>8</v>
      </c>
      <c r="BB15">
        <v>7</v>
      </c>
      <c r="BC15">
        <v>2</v>
      </c>
      <c r="BD15">
        <v>2</v>
      </c>
      <c r="BE15">
        <v>20</v>
      </c>
      <c r="BF15">
        <v>3</v>
      </c>
      <c r="BG15">
        <v>1</v>
      </c>
      <c r="BH15">
        <v>4</v>
      </c>
      <c r="BI15">
        <v>2</v>
      </c>
      <c r="BJ15">
        <v>21</v>
      </c>
      <c r="BK15">
        <v>21</v>
      </c>
      <c r="BL15">
        <v>20</v>
      </c>
      <c r="BM15">
        <v>1585</v>
      </c>
      <c r="BN15">
        <v>29.53009587</v>
      </c>
      <c r="BO15">
        <v>-95.347658089999996</v>
      </c>
      <c r="BT15" t="s">
        <v>351</v>
      </c>
      <c r="BU15">
        <v>4492</v>
      </c>
      <c r="CD15" t="s">
        <v>326</v>
      </c>
      <c r="CI15" t="s">
        <v>142</v>
      </c>
      <c r="CJ15" t="s">
        <v>141</v>
      </c>
      <c r="CK15" t="s">
        <v>142</v>
      </c>
      <c r="CL15">
        <v>5</v>
      </c>
      <c r="CM15">
        <v>0</v>
      </c>
      <c r="CN15" t="s">
        <v>142</v>
      </c>
      <c r="CO15" t="s">
        <v>327</v>
      </c>
      <c r="ES15">
        <v>0</v>
      </c>
      <c r="ET15">
        <v>0</v>
      </c>
      <c r="EU15">
        <v>0</v>
      </c>
      <c r="EV15">
        <v>3</v>
      </c>
      <c r="EW15">
        <v>0</v>
      </c>
      <c r="EX15">
        <v>0</v>
      </c>
      <c r="EY15">
        <v>0</v>
      </c>
      <c r="EZ15">
        <v>2013</v>
      </c>
      <c r="FA15">
        <v>2013</v>
      </c>
      <c r="FB15">
        <v>20</v>
      </c>
      <c r="FC15">
        <v>101</v>
      </c>
      <c r="FD15" t="s">
        <v>323</v>
      </c>
    </row>
    <row r="16" spans="1:160" x14ac:dyDescent="0.25">
      <c r="A16">
        <v>11716061</v>
      </c>
      <c r="B16" t="s">
        <v>141</v>
      </c>
      <c r="C16" t="s">
        <v>141</v>
      </c>
      <c r="D16" t="s">
        <v>141</v>
      </c>
      <c r="E16" t="s">
        <v>141</v>
      </c>
      <c r="F16" t="s">
        <v>141</v>
      </c>
      <c r="G16" t="s">
        <v>141</v>
      </c>
      <c r="H16" t="s">
        <v>141</v>
      </c>
      <c r="I16" s="99">
        <v>40461</v>
      </c>
      <c r="J16" s="98">
        <v>0.65277777777777779</v>
      </c>
      <c r="L16">
        <v>20</v>
      </c>
      <c r="M16">
        <v>1585</v>
      </c>
      <c r="N16" t="s">
        <v>142</v>
      </c>
      <c r="O16" t="s">
        <v>142</v>
      </c>
      <c r="P16">
        <v>29.529899990000001</v>
      </c>
      <c r="Q16">
        <v>-95.347369999999998</v>
      </c>
      <c r="R16">
        <v>15</v>
      </c>
      <c r="S16">
        <v>101</v>
      </c>
      <c r="U16">
        <v>1</v>
      </c>
      <c r="X16" t="s">
        <v>323</v>
      </c>
      <c r="Z16" t="s">
        <v>141</v>
      </c>
      <c r="AA16" t="s">
        <v>141</v>
      </c>
      <c r="AB16">
        <v>35</v>
      </c>
      <c r="AC16" t="s">
        <v>141</v>
      </c>
      <c r="AD16" t="s">
        <v>141</v>
      </c>
      <c r="AE16" t="s">
        <v>141</v>
      </c>
      <c r="AF16">
        <v>15</v>
      </c>
      <c r="AG16">
        <v>89</v>
      </c>
      <c r="AL16" t="s">
        <v>323</v>
      </c>
      <c r="AS16">
        <v>11</v>
      </c>
      <c r="AT16">
        <v>1</v>
      </c>
      <c r="AU16">
        <v>0</v>
      </c>
      <c r="AW16">
        <v>1</v>
      </c>
      <c r="AX16">
        <v>1</v>
      </c>
      <c r="AY16">
        <v>11</v>
      </c>
      <c r="AZ16">
        <v>10000</v>
      </c>
      <c r="BA16">
        <v>8</v>
      </c>
      <c r="BB16">
        <v>2</v>
      </c>
      <c r="BC16">
        <v>4</v>
      </c>
      <c r="BD16">
        <v>21</v>
      </c>
      <c r="BE16">
        <v>64</v>
      </c>
      <c r="BF16">
        <v>7</v>
      </c>
      <c r="BG16">
        <v>1</v>
      </c>
      <c r="BH16">
        <v>4</v>
      </c>
      <c r="BI16">
        <v>1</v>
      </c>
      <c r="BJ16">
        <v>21</v>
      </c>
      <c r="BK16">
        <v>21</v>
      </c>
      <c r="BL16">
        <v>20</v>
      </c>
      <c r="BM16">
        <v>1585</v>
      </c>
      <c r="BN16">
        <v>29.52990179</v>
      </c>
      <c r="BO16">
        <v>-95.347252879999999</v>
      </c>
      <c r="BT16" t="s">
        <v>348</v>
      </c>
      <c r="BU16">
        <v>3707</v>
      </c>
      <c r="CD16" t="s">
        <v>322</v>
      </c>
      <c r="CI16" t="s">
        <v>142</v>
      </c>
      <c r="CJ16" t="s">
        <v>141</v>
      </c>
      <c r="CK16" t="s">
        <v>142</v>
      </c>
      <c r="CL16">
        <v>5</v>
      </c>
      <c r="CM16">
        <v>0</v>
      </c>
      <c r="CN16" t="s">
        <v>142</v>
      </c>
      <c r="CO16" t="s">
        <v>327</v>
      </c>
      <c r="ES16">
        <v>0</v>
      </c>
      <c r="ET16">
        <v>0</v>
      </c>
      <c r="EU16">
        <v>0</v>
      </c>
      <c r="EV16">
        <v>4</v>
      </c>
      <c r="EW16">
        <v>0</v>
      </c>
      <c r="EX16">
        <v>0</v>
      </c>
      <c r="EY16">
        <v>0</v>
      </c>
      <c r="EZ16">
        <v>2010</v>
      </c>
      <c r="FA16">
        <v>2010</v>
      </c>
      <c r="FB16">
        <v>20</v>
      </c>
      <c r="FC16">
        <v>101</v>
      </c>
      <c r="FD16" t="s">
        <v>323</v>
      </c>
    </row>
    <row r="17" spans="1:160" x14ac:dyDescent="0.25">
      <c r="A17">
        <v>13303566</v>
      </c>
      <c r="B17" t="s">
        <v>141</v>
      </c>
      <c r="C17" t="s">
        <v>141</v>
      </c>
      <c r="D17" t="s">
        <v>141</v>
      </c>
      <c r="E17" t="s">
        <v>141</v>
      </c>
      <c r="F17" t="s">
        <v>141</v>
      </c>
      <c r="G17" t="s">
        <v>141</v>
      </c>
      <c r="H17" t="s">
        <v>141</v>
      </c>
      <c r="I17" s="99">
        <v>41420</v>
      </c>
      <c r="J17" s="98">
        <v>0.96180555555555547</v>
      </c>
      <c r="L17">
        <v>20</v>
      </c>
      <c r="M17">
        <v>1585</v>
      </c>
      <c r="N17" t="s">
        <v>142</v>
      </c>
      <c r="O17" t="s">
        <v>142</v>
      </c>
      <c r="P17">
        <v>29.530169999999998</v>
      </c>
      <c r="Q17">
        <v>-95.347210000000004</v>
      </c>
      <c r="R17">
        <v>15</v>
      </c>
      <c r="S17">
        <v>101</v>
      </c>
      <c r="U17">
        <v>1</v>
      </c>
      <c r="X17" t="s">
        <v>323</v>
      </c>
      <c r="Z17" t="s">
        <v>141</v>
      </c>
      <c r="AA17" t="s">
        <v>141</v>
      </c>
      <c r="AB17">
        <v>35</v>
      </c>
      <c r="AC17" t="s">
        <v>141</v>
      </c>
      <c r="AD17" t="s">
        <v>141</v>
      </c>
      <c r="AE17" t="s">
        <v>142</v>
      </c>
      <c r="AF17">
        <v>15</v>
      </c>
      <c r="AG17">
        <v>89</v>
      </c>
      <c r="AI17">
        <v>1</v>
      </c>
      <c r="AL17" t="s">
        <v>323</v>
      </c>
      <c r="AS17">
        <v>11</v>
      </c>
      <c r="AT17">
        <v>4</v>
      </c>
      <c r="AU17">
        <v>4</v>
      </c>
      <c r="AW17">
        <v>1</v>
      </c>
      <c r="AX17">
        <v>1</v>
      </c>
      <c r="AY17">
        <v>8</v>
      </c>
      <c r="AZ17">
        <v>10000</v>
      </c>
      <c r="BA17">
        <v>8</v>
      </c>
      <c r="BB17">
        <v>2</v>
      </c>
      <c r="BC17">
        <v>1</v>
      </c>
      <c r="BD17">
        <v>10</v>
      </c>
      <c r="BE17">
        <v>64</v>
      </c>
      <c r="BF17">
        <v>54</v>
      </c>
      <c r="BG17">
        <v>1</v>
      </c>
      <c r="BH17">
        <v>4</v>
      </c>
      <c r="BI17">
        <v>1</v>
      </c>
      <c r="BJ17">
        <v>21</v>
      </c>
      <c r="BK17">
        <v>21</v>
      </c>
      <c r="BL17">
        <v>20</v>
      </c>
      <c r="BM17">
        <v>1585</v>
      </c>
      <c r="BN17">
        <v>29.53016869</v>
      </c>
      <c r="BO17">
        <v>-95.347257749999997</v>
      </c>
      <c r="BT17" t="s">
        <v>348</v>
      </c>
      <c r="BU17">
        <v>3698</v>
      </c>
      <c r="CD17" t="s">
        <v>326</v>
      </c>
      <c r="CI17" t="s">
        <v>142</v>
      </c>
      <c r="CJ17" t="s">
        <v>141</v>
      </c>
      <c r="CK17" t="s">
        <v>142</v>
      </c>
      <c r="CL17">
        <v>5</v>
      </c>
      <c r="CM17">
        <v>0</v>
      </c>
      <c r="CN17" t="s">
        <v>142</v>
      </c>
      <c r="CO17" t="s">
        <v>327</v>
      </c>
      <c r="ES17">
        <v>0</v>
      </c>
      <c r="ET17">
        <v>0</v>
      </c>
      <c r="EU17">
        <v>0</v>
      </c>
      <c r="EV17">
        <v>5</v>
      </c>
      <c r="EW17">
        <v>0</v>
      </c>
      <c r="EX17">
        <v>0</v>
      </c>
      <c r="EY17">
        <v>0</v>
      </c>
      <c r="EZ17">
        <v>2013</v>
      </c>
      <c r="FA17">
        <v>2013</v>
      </c>
      <c r="FB17">
        <v>20</v>
      </c>
      <c r="FC17">
        <v>101</v>
      </c>
      <c r="FD17" t="s">
        <v>323</v>
      </c>
    </row>
    <row r="18" spans="1:160" x14ac:dyDescent="0.25">
      <c r="A18">
        <v>12298115</v>
      </c>
      <c r="B18" t="s">
        <v>141</v>
      </c>
      <c r="C18" t="s">
        <v>141</v>
      </c>
      <c r="D18" t="s">
        <v>141</v>
      </c>
      <c r="E18" t="s">
        <v>141</v>
      </c>
      <c r="F18" t="s">
        <v>141</v>
      </c>
      <c r="G18" t="s">
        <v>142</v>
      </c>
      <c r="H18" t="s">
        <v>141</v>
      </c>
      <c r="I18" s="99">
        <v>40739</v>
      </c>
      <c r="J18" s="98">
        <v>0.41250000000000003</v>
      </c>
      <c r="L18">
        <v>20</v>
      </c>
      <c r="M18">
        <v>1585</v>
      </c>
      <c r="N18" t="s">
        <v>142</v>
      </c>
      <c r="O18" t="s">
        <v>142</v>
      </c>
      <c r="P18">
        <v>29.530200000000001</v>
      </c>
      <c r="Q18">
        <v>-95.343590000000006</v>
      </c>
      <c r="R18">
        <v>15</v>
      </c>
      <c r="S18">
        <v>101</v>
      </c>
      <c r="U18">
        <v>1</v>
      </c>
      <c r="X18" t="s">
        <v>323</v>
      </c>
      <c r="Z18" t="s">
        <v>141</v>
      </c>
      <c r="AA18" t="s">
        <v>141</v>
      </c>
      <c r="AB18">
        <v>45</v>
      </c>
      <c r="AC18" t="s">
        <v>141</v>
      </c>
      <c r="AD18" t="s">
        <v>141</v>
      </c>
      <c r="AE18" t="s">
        <v>141</v>
      </c>
      <c r="AF18">
        <v>15</v>
      </c>
      <c r="AG18">
        <v>89</v>
      </c>
      <c r="AL18" t="s">
        <v>323</v>
      </c>
      <c r="AS18">
        <v>11</v>
      </c>
      <c r="AT18">
        <v>1</v>
      </c>
      <c r="AU18">
        <v>0</v>
      </c>
      <c r="AW18">
        <v>1</v>
      </c>
      <c r="AX18">
        <v>1</v>
      </c>
      <c r="AY18">
        <v>11</v>
      </c>
      <c r="AZ18">
        <v>10000</v>
      </c>
      <c r="BA18">
        <v>8</v>
      </c>
      <c r="BB18">
        <v>7</v>
      </c>
      <c r="BC18">
        <v>4</v>
      </c>
      <c r="BD18">
        <v>1</v>
      </c>
      <c r="BE18">
        <v>33</v>
      </c>
      <c r="BF18">
        <v>54</v>
      </c>
      <c r="BG18">
        <v>1</v>
      </c>
      <c r="BH18">
        <v>4</v>
      </c>
      <c r="BI18">
        <v>2</v>
      </c>
      <c r="BJ18">
        <v>21</v>
      </c>
      <c r="BK18">
        <v>21</v>
      </c>
      <c r="BL18">
        <v>20</v>
      </c>
      <c r="BM18">
        <v>1585</v>
      </c>
      <c r="BN18">
        <v>29.530168679999999</v>
      </c>
      <c r="BO18">
        <v>-95.343589690000002</v>
      </c>
      <c r="BT18" t="s">
        <v>325</v>
      </c>
      <c r="BU18">
        <v>7903</v>
      </c>
      <c r="CD18" t="s">
        <v>322</v>
      </c>
      <c r="CI18" t="s">
        <v>142</v>
      </c>
      <c r="CJ18" t="s">
        <v>141</v>
      </c>
      <c r="CK18" t="s">
        <v>142</v>
      </c>
      <c r="CL18">
        <v>5</v>
      </c>
      <c r="CM18">
        <v>0</v>
      </c>
      <c r="CN18" t="s">
        <v>142</v>
      </c>
      <c r="CO18" t="s">
        <v>349</v>
      </c>
      <c r="ES18">
        <v>0</v>
      </c>
      <c r="ET18">
        <v>0</v>
      </c>
      <c r="EU18">
        <v>0</v>
      </c>
      <c r="EV18">
        <v>1</v>
      </c>
      <c r="EW18">
        <v>0</v>
      </c>
      <c r="EX18">
        <v>0</v>
      </c>
      <c r="EY18">
        <v>0</v>
      </c>
      <c r="EZ18">
        <v>2011</v>
      </c>
      <c r="FA18">
        <v>2011</v>
      </c>
      <c r="FB18">
        <v>20</v>
      </c>
      <c r="FC18">
        <v>101</v>
      </c>
      <c r="FD18" t="s">
        <v>323</v>
      </c>
    </row>
    <row r="19" spans="1:160" x14ac:dyDescent="0.25">
      <c r="A19">
        <v>11539048</v>
      </c>
      <c r="B19" t="s">
        <v>141</v>
      </c>
      <c r="C19" t="s">
        <v>141</v>
      </c>
      <c r="D19" t="s">
        <v>141</v>
      </c>
      <c r="E19" t="s">
        <v>141</v>
      </c>
      <c r="F19" t="s">
        <v>141</v>
      </c>
      <c r="G19" t="s">
        <v>141</v>
      </c>
      <c r="H19" t="s">
        <v>141</v>
      </c>
      <c r="I19" s="99">
        <v>40357</v>
      </c>
      <c r="J19" s="98">
        <v>0.49236111111111108</v>
      </c>
      <c r="L19">
        <v>20</v>
      </c>
      <c r="M19">
        <v>1585</v>
      </c>
      <c r="N19" t="s">
        <v>142</v>
      </c>
      <c r="O19" t="s">
        <v>142</v>
      </c>
      <c r="P19">
        <v>29.530149999999999</v>
      </c>
      <c r="Q19">
        <v>-95.346999999999994</v>
      </c>
      <c r="R19">
        <v>15</v>
      </c>
      <c r="S19">
        <v>101</v>
      </c>
      <c r="U19">
        <v>1</v>
      </c>
      <c r="X19" t="s">
        <v>323</v>
      </c>
      <c r="Z19" t="s">
        <v>141</v>
      </c>
      <c r="AA19" t="s">
        <v>141</v>
      </c>
      <c r="AB19">
        <v>40</v>
      </c>
      <c r="AC19" t="s">
        <v>141</v>
      </c>
      <c r="AD19" t="s">
        <v>141</v>
      </c>
      <c r="AE19" t="s">
        <v>141</v>
      </c>
      <c r="AF19">
        <v>15</v>
      </c>
      <c r="AG19">
        <v>89</v>
      </c>
      <c r="AL19" t="s">
        <v>323</v>
      </c>
      <c r="AS19">
        <v>11</v>
      </c>
      <c r="AT19">
        <v>1</v>
      </c>
      <c r="AU19">
        <v>0</v>
      </c>
      <c r="AW19">
        <v>1</v>
      </c>
      <c r="AX19">
        <v>1</v>
      </c>
      <c r="AY19">
        <v>8</v>
      </c>
      <c r="AZ19">
        <v>10000</v>
      </c>
      <c r="BA19">
        <v>8</v>
      </c>
      <c r="BB19">
        <v>2</v>
      </c>
      <c r="BC19">
        <v>2</v>
      </c>
      <c r="BD19">
        <v>19</v>
      </c>
      <c r="BE19">
        <v>64</v>
      </c>
      <c r="BF19">
        <v>54</v>
      </c>
      <c r="BG19">
        <v>1</v>
      </c>
      <c r="BH19">
        <v>4</v>
      </c>
      <c r="BI19">
        <v>1</v>
      </c>
      <c r="BJ19">
        <v>21</v>
      </c>
      <c r="BK19">
        <v>21</v>
      </c>
      <c r="BL19">
        <v>20</v>
      </c>
      <c r="BM19">
        <v>1585</v>
      </c>
      <c r="BN19">
        <v>29.530111529999999</v>
      </c>
      <c r="BO19">
        <v>-95.346999019999998</v>
      </c>
      <c r="BT19" t="s">
        <v>325</v>
      </c>
      <c r="BU19">
        <v>8085</v>
      </c>
      <c r="CD19" t="s">
        <v>326</v>
      </c>
      <c r="CI19" t="s">
        <v>142</v>
      </c>
      <c r="CJ19" t="s">
        <v>141</v>
      </c>
      <c r="CK19" t="s">
        <v>142</v>
      </c>
      <c r="CL19">
        <v>5</v>
      </c>
      <c r="CM19">
        <v>0</v>
      </c>
      <c r="CN19" t="s">
        <v>142</v>
      </c>
      <c r="CO19" t="s">
        <v>140</v>
      </c>
      <c r="ES19">
        <v>0</v>
      </c>
      <c r="ET19">
        <v>0</v>
      </c>
      <c r="EU19">
        <v>0</v>
      </c>
      <c r="EV19">
        <v>2</v>
      </c>
      <c r="EW19">
        <v>0</v>
      </c>
      <c r="EX19">
        <v>0</v>
      </c>
      <c r="EY19">
        <v>0</v>
      </c>
      <c r="EZ19">
        <v>2010</v>
      </c>
      <c r="FA19">
        <v>2010</v>
      </c>
      <c r="FB19">
        <v>20</v>
      </c>
      <c r="FC19">
        <v>101</v>
      </c>
      <c r="FD19" t="s">
        <v>323</v>
      </c>
    </row>
    <row r="20" spans="1:160" x14ac:dyDescent="0.25">
      <c r="A20">
        <v>11178810</v>
      </c>
      <c r="B20" t="s">
        <v>141</v>
      </c>
      <c r="C20" t="s">
        <v>141</v>
      </c>
      <c r="D20" t="s">
        <v>141</v>
      </c>
      <c r="E20" t="s">
        <v>141</v>
      </c>
      <c r="F20" t="s">
        <v>141</v>
      </c>
      <c r="G20" t="s">
        <v>141</v>
      </c>
      <c r="H20" t="s">
        <v>141</v>
      </c>
      <c r="I20" s="99">
        <v>40207</v>
      </c>
      <c r="J20" s="98">
        <v>0.27777777777777779</v>
      </c>
      <c r="K20">
        <v>10011359</v>
      </c>
      <c r="L20">
        <v>20</v>
      </c>
      <c r="M20">
        <v>1585</v>
      </c>
      <c r="N20" t="s">
        <v>142</v>
      </c>
      <c r="O20" t="s">
        <v>142</v>
      </c>
      <c r="R20">
        <v>15</v>
      </c>
      <c r="S20">
        <v>101</v>
      </c>
      <c r="U20">
        <v>1</v>
      </c>
      <c r="V20">
        <v>4500</v>
      </c>
      <c r="X20" t="s">
        <v>338</v>
      </c>
      <c r="Y20" t="s">
        <v>143</v>
      </c>
      <c r="Z20" t="s">
        <v>141</v>
      </c>
      <c r="AA20" t="s">
        <v>141</v>
      </c>
      <c r="AB20">
        <v>35</v>
      </c>
      <c r="AC20" t="s">
        <v>141</v>
      </c>
      <c r="AD20" t="s">
        <v>141</v>
      </c>
      <c r="AE20" t="s">
        <v>141</v>
      </c>
      <c r="AF20">
        <v>15</v>
      </c>
      <c r="AG20">
        <v>90</v>
      </c>
      <c r="AI20">
        <v>1</v>
      </c>
      <c r="AJ20">
        <v>3600</v>
      </c>
      <c r="AL20" t="s">
        <v>323</v>
      </c>
      <c r="AS20">
        <v>2</v>
      </c>
      <c r="AT20">
        <v>3</v>
      </c>
      <c r="AU20">
        <v>2</v>
      </c>
      <c r="AW20">
        <v>1</v>
      </c>
      <c r="AX20">
        <v>2</v>
      </c>
      <c r="AY20">
        <v>8</v>
      </c>
      <c r="AZ20">
        <v>148</v>
      </c>
      <c r="BA20">
        <v>8</v>
      </c>
      <c r="BB20">
        <v>7</v>
      </c>
      <c r="BC20">
        <v>2</v>
      </c>
      <c r="BD20">
        <v>1</v>
      </c>
      <c r="BE20">
        <v>62</v>
      </c>
      <c r="BF20">
        <v>54</v>
      </c>
      <c r="BG20">
        <v>1</v>
      </c>
      <c r="BH20">
        <v>4</v>
      </c>
      <c r="BI20">
        <v>2</v>
      </c>
      <c r="BJ20">
        <v>21</v>
      </c>
      <c r="BK20">
        <v>21</v>
      </c>
      <c r="BL20">
        <v>20</v>
      </c>
      <c r="BM20">
        <v>1585</v>
      </c>
      <c r="BN20">
        <v>29.529827640000001</v>
      </c>
      <c r="BO20">
        <v>-95.366885960000005</v>
      </c>
      <c r="BT20" t="s">
        <v>325</v>
      </c>
      <c r="BU20">
        <v>3501</v>
      </c>
      <c r="CD20" t="s">
        <v>352</v>
      </c>
      <c r="CI20" t="s">
        <v>142</v>
      </c>
      <c r="CJ20" t="s">
        <v>141</v>
      </c>
      <c r="CK20" t="s">
        <v>142</v>
      </c>
      <c r="CL20">
        <v>5</v>
      </c>
      <c r="CM20">
        <v>0</v>
      </c>
      <c r="CN20" t="s">
        <v>142</v>
      </c>
      <c r="CO20" t="s">
        <v>349</v>
      </c>
      <c r="ES20">
        <v>0</v>
      </c>
      <c r="ET20">
        <v>0</v>
      </c>
      <c r="EU20">
        <v>0</v>
      </c>
      <c r="EV20">
        <v>1</v>
      </c>
      <c r="EW20">
        <v>0</v>
      </c>
      <c r="EX20">
        <v>0</v>
      </c>
      <c r="EY20">
        <v>0</v>
      </c>
      <c r="EZ20">
        <v>2010</v>
      </c>
      <c r="FA20">
        <v>2010</v>
      </c>
      <c r="FB20">
        <v>20</v>
      </c>
      <c r="FC20">
        <v>101</v>
      </c>
      <c r="FD20" t="s">
        <v>338</v>
      </c>
    </row>
    <row r="21" spans="1:160" x14ac:dyDescent="0.25">
      <c r="A21">
        <v>13369980</v>
      </c>
      <c r="B21" t="s">
        <v>141</v>
      </c>
      <c r="C21" t="s">
        <v>141</v>
      </c>
      <c r="D21" t="s">
        <v>141</v>
      </c>
      <c r="E21" t="s">
        <v>141</v>
      </c>
      <c r="F21" t="s">
        <v>141</v>
      </c>
      <c r="G21" t="s">
        <v>141</v>
      </c>
      <c r="H21" t="s">
        <v>141</v>
      </c>
      <c r="I21" s="99">
        <v>41465</v>
      </c>
      <c r="J21" s="98">
        <v>0.76527777777777783</v>
      </c>
      <c r="K21" t="s">
        <v>353</v>
      </c>
      <c r="L21">
        <v>20</v>
      </c>
      <c r="M21">
        <v>1585</v>
      </c>
      <c r="N21" t="s">
        <v>142</v>
      </c>
      <c r="O21" t="s">
        <v>142</v>
      </c>
      <c r="R21">
        <v>19</v>
      </c>
      <c r="U21">
        <v>1</v>
      </c>
      <c r="X21" t="s">
        <v>338</v>
      </c>
      <c r="Y21" t="s">
        <v>143</v>
      </c>
      <c r="Z21" t="s">
        <v>141</v>
      </c>
      <c r="AA21" t="s">
        <v>141</v>
      </c>
      <c r="AB21">
        <v>35</v>
      </c>
      <c r="AC21" t="s">
        <v>141</v>
      </c>
      <c r="AD21" t="s">
        <v>141</v>
      </c>
      <c r="AE21" t="s">
        <v>142</v>
      </c>
      <c r="AF21">
        <v>15</v>
      </c>
      <c r="AG21">
        <v>90</v>
      </c>
      <c r="AL21" t="s">
        <v>323</v>
      </c>
      <c r="AS21">
        <v>11</v>
      </c>
      <c r="AT21">
        <v>1</v>
      </c>
      <c r="AU21">
        <v>2</v>
      </c>
      <c r="AW21">
        <v>1</v>
      </c>
      <c r="AX21">
        <v>1</v>
      </c>
      <c r="AY21">
        <v>8</v>
      </c>
      <c r="AZ21">
        <v>148</v>
      </c>
      <c r="BA21">
        <v>8</v>
      </c>
      <c r="BB21">
        <v>2</v>
      </c>
      <c r="BC21">
        <v>2</v>
      </c>
      <c r="BD21">
        <v>23</v>
      </c>
      <c r="BE21">
        <v>64</v>
      </c>
      <c r="BF21">
        <v>54</v>
      </c>
      <c r="BG21">
        <v>1</v>
      </c>
      <c r="BH21">
        <v>5</v>
      </c>
      <c r="BI21">
        <v>1</v>
      </c>
      <c r="BJ21">
        <v>21</v>
      </c>
      <c r="BK21">
        <v>21</v>
      </c>
      <c r="BL21">
        <v>20</v>
      </c>
      <c r="BM21">
        <v>1585</v>
      </c>
      <c r="BT21" t="s">
        <v>325</v>
      </c>
      <c r="CD21" t="s">
        <v>352</v>
      </c>
      <c r="CI21" t="s">
        <v>142</v>
      </c>
      <c r="CJ21" t="s">
        <v>141</v>
      </c>
      <c r="CK21" t="s">
        <v>142</v>
      </c>
      <c r="CL21">
        <v>5</v>
      </c>
      <c r="CM21">
        <v>0</v>
      </c>
      <c r="CN21" t="s">
        <v>141</v>
      </c>
      <c r="CO21" t="s">
        <v>342</v>
      </c>
      <c r="ES21">
        <v>0</v>
      </c>
      <c r="ET21">
        <v>0</v>
      </c>
      <c r="EU21">
        <v>0</v>
      </c>
      <c r="EV21">
        <v>2</v>
      </c>
      <c r="EW21">
        <v>0</v>
      </c>
      <c r="EX21">
        <v>0</v>
      </c>
      <c r="EY21">
        <v>0</v>
      </c>
      <c r="EZ21">
        <v>2013</v>
      </c>
      <c r="FA21">
        <v>2013</v>
      </c>
      <c r="FB21">
        <v>20</v>
      </c>
      <c r="FD21" t="s">
        <v>338</v>
      </c>
    </row>
    <row r="22" spans="1:160" x14ac:dyDescent="0.25">
      <c r="A22">
        <v>12304023</v>
      </c>
      <c r="B22" t="s">
        <v>141</v>
      </c>
      <c r="C22" t="s">
        <v>141</v>
      </c>
      <c r="D22" t="s">
        <v>141</v>
      </c>
      <c r="E22" t="s">
        <v>141</v>
      </c>
      <c r="F22" t="s">
        <v>141</v>
      </c>
      <c r="G22" t="s">
        <v>141</v>
      </c>
      <c r="H22" t="s">
        <v>141</v>
      </c>
      <c r="I22" s="99">
        <v>40797</v>
      </c>
      <c r="J22" s="98">
        <v>0.61111111111111105</v>
      </c>
      <c r="L22">
        <v>20</v>
      </c>
      <c r="M22">
        <v>1585</v>
      </c>
      <c r="N22" t="s">
        <v>142</v>
      </c>
      <c r="O22" t="s">
        <v>142</v>
      </c>
      <c r="P22">
        <v>29.530149999999999</v>
      </c>
      <c r="Q22">
        <v>-95.338679999999997</v>
      </c>
      <c r="R22">
        <v>15</v>
      </c>
      <c r="S22">
        <v>101</v>
      </c>
      <c r="U22">
        <v>1</v>
      </c>
      <c r="X22" t="s">
        <v>323</v>
      </c>
      <c r="Z22" t="s">
        <v>141</v>
      </c>
      <c r="AA22" t="s">
        <v>141</v>
      </c>
      <c r="AB22">
        <v>35</v>
      </c>
      <c r="AC22" t="s">
        <v>141</v>
      </c>
      <c r="AD22" t="s">
        <v>141</v>
      </c>
      <c r="AE22" t="s">
        <v>141</v>
      </c>
      <c r="AF22">
        <v>15</v>
      </c>
      <c r="AG22">
        <v>107</v>
      </c>
      <c r="AH22" t="s">
        <v>354</v>
      </c>
      <c r="AL22" t="s">
        <v>323</v>
      </c>
      <c r="AS22">
        <v>11</v>
      </c>
      <c r="AT22">
        <v>1</v>
      </c>
      <c r="AU22">
        <v>0</v>
      </c>
      <c r="AW22">
        <v>1</v>
      </c>
      <c r="AX22">
        <v>1</v>
      </c>
      <c r="AY22">
        <v>11</v>
      </c>
      <c r="AZ22">
        <v>10000</v>
      </c>
      <c r="BA22">
        <v>8</v>
      </c>
      <c r="BB22">
        <v>10</v>
      </c>
      <c r="BC22">
        <v>2</v>
      </c>
      <c r="BD22">
        <v>1</v>
      </c>
      <c r="BE22">
        <v>1</v>
      </c>
      <c r="BF22">
        <v>33</v>
      </c>
      <c r="BG22">
        <v>1</v>
      </c>
      <c r="BH22">
        <v>4</v>
      </c>
      <c r="BI22">
        <v>1</v>
      </c>
      <c r="BJ22">
        <v>21</v>
      </c>
      <c r="BK22">
        <v>21</v>
      </c>
      <c r="BL22">
        <v>20</v>
      </c>
      <c r="BM22">
        <v>1585</v>
      </c>
      <c r="BN22">
        <v>29.53023104</v>
      </c>
      <c r="BO22">
        <v>-95.338682399999996</v>
      </c>
      <c r="BT22" t="s">
        <v>325</v>
      </c>
      <c r="BU22">
        <v>7602</v>
      </c>
      <c r="CD22" t="s">
        <v>326</v>
      </c>
      <c r="CI22" t="s">
        <v>142</v>
      </c>
      <c r="CJ22" t="s">
        <v>141</v>
      </c>
      <c r="CK22" t="s">
        <v>142</v>
      </c>
      <c r="CL22">
        <v>2</v>
      </c>
      <c r="CM22">
        <v>0</v>
      </c>
      <c r="CN22" t="s">
        <v>142</v>
      </c>
      <c r="CO22" t="s">
        <v>327</v>
      </c>
      <c r="ES22">
        <v>0</v>
      </c>
      <c r="ET22">
        <v>2</v>
      </c>
      <c r="EU22">
        <v>0</v>
      </c>
      <c r="EV22">
        <v>1</v>
      </c>
      <c r="EW22">
        <v>0</v>
      </c>
      <c r="EX22">
        <v>2</v>
      </c>
      <c r="EY22">
        <v>0</v>
      </c>
      <c r="EZ22">
        <v>2011</v>
      </c>
      <c r="FA22">
        <v>2011</v>
      </c>
      <c r="FB22">
        <v>20</v>
      </c>
      <c r="FC22">
        <v>101</v>
      </c>
      <c r="FD22" t="s">
        <v>323</v>
      </c>
    </row>
    <row r="23" spans="1:160" x14ac:dyDescent="0.25">
      <c r="A23">
        <v>13308494</v>
      </c>
      <c r="B23" t="s">
        <v>141</v>
      </c>
      <c r="C23" t="s">
        <v>141</v>
      </c>
      <c r="D23" t="s">
        <v>141</v>
      </c>
      <c r="E23" t="s">
        <v>141</v>
      </c>
      <c r="F23" t="s">
        <v>141</v>
      </c>
      <c r="G23" t="s">
        <v>141</v>
      </c>
      <c r="H23" t="s">
        <v>141</v>
      </c>
      <c r="I23" s="99">
        <v>41423</v>
      </c>
      <c r="J23" s="98">
        <v>0.74444444444444446</v>
      </c>
      <c r="L23">
        <v>20</v>
      </c>
      <c r="M23">
        <v>1585</v>
      </c>
      <c r="N23" t="s">
        <v>142</v>
      </c>
      <c r="O23" t="s">
        <v>142</v>
      </c>
      <c r="P23">
        <v>29.52993</v>
      </c>
      <c r="Q23">
        <v>-95.361770000000007</v>
      </c>
      <c r="R23">
        <v>15</v>
      </c>
      <c r="S23">
        <v>101</v>
      </c>
      <c r="U23">
        <v>1</v>
      </c>
      <c r="X23" t="s">
        <v>323</v>
      </c>
      <c r="Z23" t="s">
        <v>141</v>
      </c>
      <c r="AA23" t="s">
        <v>141</v>
      </c>
      <c r="AB23">
        <v>40</v>
      </c>
      <c r="AC23" t="s">
        <v>141</v>
      </c>
      <c r="AD23" t="s">
        <v>141</v>
      </c>
      <c r="AE23" t="s">
        <v>141</v>
      </c>
      <c r="AF23">
        <v>15</v>
      </c>
      <c r="AG23">
        <v>736</v>
      </c>
      <c r="AH23" t="s">
        <v>355</v>
      </c>
      <c r="AL23" t="s">
        <v>323</v>
      </c>
      <c r="AS23">
        <v>11</v>
      </c>
      <c r="AT23">
        <v>1</v>
      </c>
      <c r="AU23">
        <v>0</v>
      </c>
      <c r="AW23">
        <v>1</v>
      </c>
      <c r="AX23">
        <v>1</v>
      </c>
      <c r="AY23">
        <v>11</v>
      </c>
      <c r="AZ23">
        <v>10000</v>
      </c>
      <c r="BA23">
        <v>8</v>
      </c>
      <c r="BB23">
        <v>2</v>
      </c>
      <c r="BC23">
        <v>3</v>
      </c>
      <c r="BD23">
        <v>45</v>
      </c>
      <c r="BE23">
        <v>64</v>
      </c>
      <c r="BF23">
        <v>14</v>
      </c>
      <c r="BG23">
        <v>1</v>
      </c>
      <c r="BH23">
        <v>4</v>
      </c>
      <c r="BI23">
        <v>1</v>
      </c>
      <c r="BJ23">
        <v>32</v>
      </c>
      <c r="BK23">
        <v>21</v>
      </c>
      <c r="BL23">
        <v>20</v>
      </c>
      <c r="BM23">
        <v>1585</v>
      </c>
      <c r="BN23">
        <v>29.5299634</v>
      </c>
      <c r="BO23">
        <v>-95.361770329999999</v>
      </c>
      <c r="BT23" t="s">
        <v>351</v>
      </c>
      <c r="BU23">
        <v>3588</v>
      </c>
      <c r="CD23" t="s">
        <v>322</v>
      </c>
      <c r="CI23" t="s">
        <v>142</v>
      </c>
      <c r="CJ23" t="s">
        <v>141</v>
      </c>
      <c r="CK23" t="s">
        <v>142</v>
      </c>
      <c r="CL23">
        <v>5</v>
      </c>
      <c r="CM23">
        <v>0</v>
      </c>
      <c r="CN23" t="s">
        <v>142</v>
      </c>
      <c r="CO23" t="s">
        <v>342</v>
      </c>
      <c r="ES23">
        <v>0</v>
      </c>
      <c r="ET23">
        <v>0</v>
      </c>
      <c r="EU23">
        <v>0</v>
      </c>
      <c r="EV23">
        <v>3</v>
      </c>
      <c r="EW23">
        <v>0</v>
      </c>
      <c r="EX23">
        <v>0</v>
      </c>
      <c r="EY23">
        <v>0</v>
      </c>
      <c r="EZ23">
        <v>2013</v>
      </c>
      <c r="FA23">
        <v>2013</v>
      </c>
      <c r="FB23">
        <v>20</v>
      </c>
      <c r="FC23">
        <v>101</v>
      </c>
      <c r="FD23" t="s">
        <v>323</v>
      </c>
    </row>
    <row r="24" spans="1:160" x14ac:dyDescent="0.25">
      <c r="A24">
        <v>13303597</v>
      </c>
      <c r="B24" t="s">
        <v>141</v>
      </c>
      <c r="C24" t="s">
        <v>141</v>
      </c>
      <c r="D24" t="s">
        <v>141</v>
      </c>
      <c r="E24" t="s">
        <v>141</v>
      </c>
      <c r="F24" t="s">
        <v>141</v>
      </c>
      <c r="G24" t="s">
        <v>141</v>
      </c>
      <c r="H24" t="s">
        <v>141</v>
      </c>
      <c r="I24" s="99">
        <v>41423</v>
      </c>
      <c r="J24" s="98">
        <v>0.69930555555555562</v>
      </c>
      <c r="L24">
        <v>20</v>
      </c>
      <c r="M24">
        <v>1585</v>
      </c>
      <c r="N24" t="s">
        <v>142</v>
      </c>
      <c r="O24" t="s">
        <v>142</v>
      </c>
      <c r="P24">
        <v>29.530049999999999</v>
      </c>
      <c r="Q24">
        <v>-95.352900000000005</v>
      </c>
      <c r="R24">
        <v>15</v>
      </c>
      <c r="S24">
        <v>101</v>
      </c>
      <c r="U24">
        <v>1</v>
      </c>
      <c r="X24" t="s">
        <v>323</v>
      </c>
      <c r="Z24" t="s">
        <v>141</v>
      </c>
      <c r="AA24" t="s">
        <v>141</v>
      </c>
      <c r="AB24">
        <v>45</v>
      </c>
      <c r="AC24" t="s">
        <v>141</v>
      </c>
      <c r="AD24" t="s">
        <v>141</v>
      </c>
      <c r="AE24" t="s">
        <v>141</v>
      </c>
      <c r="AF24">
        <v>15</v>
      </c>
      <c r="AG24">
        <v>884</v>
      </c>
      <c r="AL24" t="s">
        <v>323</v>
      </c>
      <c r="AS24">
        <v>11</v>
      </c>
      <c r="AT24">
        <v>1</v>
      </c>
      <c r="AU24">
        <v>0</v>
      </c>
      <c r="AW24">
        <v>1</v>
      </c>
      <c r="AX24">
        <v>1</v>
      </c>
      <c r="AY24">
        <v>11</v>
      </c>
      <c r="AZ24">
        <v>10000</v>
      </c>
      <c r="BA24">
        <v>8</v>
      </c>
      <c r="BB24">
        <v>7</v>
      </c>
      <c r="BC24">
        <v>4</v>
      </c>
      <c r="BD24">
        <v>1</v>
      </c>
      <c r="BE24">
        <v>32</v>
      </c>
      <c r="BF24">
        <v>3</v>
      </c>
      <c r="BG24">
        <v>1</v>
      </c>
      <c r="BH24">
        <v>4</v>
      </c>
      <c r="BI24">
        <v>2</v>
      </c>
      <c r="BJ24">
        <v>21</v>
      </c>
      <c r="BK24">
        <v>21</v>
      </c>
      <c r="BL24">
        <v>20</v>
      </c>
      <c r="BM24">
        <v>1585</v>
      </c>
      <c r="BN24">
        <v>29.529999650000001</v>
      </c>
      <c r="BO24">
        <v>-95.352899289999996</v>
      </c>
      <c r="BT24" t="s">
        <v>351</v>
      </c>
      <c r="BU24">
        <v>4302</v>
      </c>
      <c r="CD24" t="s">
        <v>322</v>
      </c>
      <c r="CI24" t="s">
        <v>142</v>
      </c>
      <c r="CJ24" t="s">
        <v>141</v>
      </c>
      <c r="CK24" t="s">
        <v>142</v>
      </c>
      <c r="CL24">
        <v>5</v>
      </c>
      <c r="CM24">
        <v>0</v>
      </c>
      <c r="CN24" t="s">
        <v>142</v>
      </c>
      <c r="CO24" t="s">
        <v>342</v>
      </c>
      <c r="ES24">
        <v>0</v>
      </c>
      <c r="ET24">
        <v>0</v>
      </c>
      <c r="EU24">
        <v>0</v>
      </c>
      <c r="EV24">
        <v>1</v>
      </c>
      <c r="EW24">
        <v>0</v>
      </c>
      <c r="EX24">
        <v>0</v>
      </c>
      <c r="EY24">
        <v>0</v>
      </c>
      <c r="EZ24">
        <v>2013</v>
      </c>
      <c r="FA24">
        <v>2013</v>
      </c>
      <c r="FB24">
        <v>20</v>
      </c>
      <c r="FC24">
        <v>101</v>
      </c>
      <c r="FD24" t="s">
        <v>323</v>
      </c>
    </row>
    <row r="25" spans="1:160" x14ac:dyDescent="0.25">
      <c r="A25">
        <v>12783411</v>
      </c>
      <c r="B25" t="s">
        <v>142</v>
      </c>
      <c r="C25" t="s">
        <v>142</v>
      </c>
      <c r="D25" t="s">
        <v>141</v>
      </c>
      <c r="E25" t="s">
        <v>141</v>
      </c>
      <c r="F25" t="s">
        <v>141</v>
      </c>
      <c r="G25" t="s">
        <v>142</v>
      </c>
      <c r="H25" t="s">
        <v>141</v>
      </c>
      <c r="I25" s="99">
        <v>40983</v>
      </c>
      <c r="J25" s="98">
        <v>0.58333333333333337</v>
      </c>
      <c r="L25">
        <v>20</v>
      </c>
      <c r="M25">
        <v>1585</v>
      </c>
      <c r="N25" t="s">
        <v>142</v>
      </c>
      <c r="O25" t="s">
        <v>142</v>
      </c>
      <c r="P25">
        <v>29.53002</v>
      </c>
      <c r="Q25">
        <v>-95.335629999999995</v>
      </c>
      <c r="R25">
        <v>15</v>
      </c>
      <c r="S25">
        <v>101</v>
      </c>
      <c r="U25">
        <v>1</v>
      </c>
      <c r="X25" t="s">
        <v>323</v>
      </c>
      <c r="Z25" t="s">
        <v>141</v>
      </c>
      <c r="AA25" t="s">
        <v>141</v>
      </c>
      <c r="AB25">
        <v>35</v>
      </c>
      <c r="AC25" t="s">
        <v>141</v>
      </c>
      <c r="AD25" t="s">
        <v>141</v>
      </c>
      <c r="AE25" t="s">
        <v>142</v>
      </c>
      <c r="AF25">
        <v>15</v>
      </c>
      <c r="AG25">
        <v>905</v>
      </c>
      <c r="AI25">
        <v>1</v>
      </c>
      <c r="AL25" t="s">
        <v>323</v>
      </c>
      <c r="AS25">
        <v>11</v>
      </c>
      <c r="AT25">
        <v>1</v>
      </c>
      <c r="AU25">
        <v>2</v>
      </c>
      <c r="AW25">
        <v>1</v>
      </c>
      <c r="AX25">
        <v>1</v>
      </c>
      <c r="AY25">
        <v>11</v>
      </c>
      <c r="AZ25">
        <v>10000</v>
      </c>
      <c r="BA25">
        <v>8</v>
      </c>
      <c r="BB25">
        <v>2</v>
      </c>
      <c r="BC25">
        <v>1</v>
      </c>
      <c r="BD25">
        <v>34</v>
      </c>
      <c r="BE25">
        <v>1</v>
      </c>
      <c r="BF25">
        <v>54</v>
      </c>
      <c r="BG25">
        <v>1</v>
      </c>
      <c r="BH25">
        <v>4</v>
      </c>
      <c r="BI25">
        <v>1</v>
      </c>
      <c r="BJ25">
        <v>21</v>
      </c>
      <c r="BK25">
        <v>21</v>
      </c>
      <c r="BL25">
        <v>20</v>
      </c>
      <c r="BM25">
        <v>1585</v>
      </c>
      <c r="BN25">
        <v>29.529962099999999</v>
      </c>
      <c r="BO25">
        <v>-95.355553580000006</v>
      </c>
      <c r="BT25" t="s">
        <v>351</v>
      </c>
      <c r="BU25">
        <v>3703</v>
      </c>
      <c r="CD25" t="s">
        <v>326</v>
      </c>
      <c r="CI25" t="s">
        <v>142</v>
      </c>
      <c r="CJ25" t="s">
        <v>141</v>
      </c>
      <c r="CK25" t="s">
        <v>142</v>
      </c>
      <c r="CL25">
        <v>4</v>
      </c>
      <c r="CM25">
        <v>0</v>
      </c>
      <c r="CN25" t="s">
        <v>142</v>
      </c>
      <c r="CO25" t="s">
        <v>347</v>
      </c>
      <c r="ES25">
        <v>0</v>
      </c>
      <c r="ET25">
        <v>0</v>
      </c>
      <c r="EU25">
        <v>0</v>
      </c>
      <c r="EV25">
        <v>1</v>
      </c>
      <c r="EW25">
        <v>0</v>
      </c>
      <c r="EX25">
        <v>0</v>
      </c>
      <c r="EY25">
        <v>1</v>
      </c>
      <c r="EZ25">
        <v>2012</v>
      </c>
      <c r="FA25">
        <v>2012</v>
      </c>
      <c r="FB25">
        <v>20</v>
      </c>
      <c r="FC25">
        <v>101</v>
      </c>
      <c r="FD25" t="s">
        <v>323</v>
      </c>
    </row>
    <row r="26" spans="1:160" x14ac:dyDescent="0.25">
      <c r="A26">
        <v>13609308</v>
      </c>
      <c r="B26" t="s">
        <v>141</v>
      </c>
      <c r="C26" t="s">
        <v>141</v>
      </c>
      <c r="D26" t="s">
        <v>141</v>
      </c>
      <c r="E26" t="s">
        <v>141</v>
      </c>
      <c r="F26" t="s">
        <v>141</v>
      </c>
      <c r="G26" t="s">
        <v>141</v>
      </c>
      <c r="H26" t="s">
        <v>141</v>
      </c>
      <c r="I26" s="99">
        <v>41616</v>
      </c>
      <c r="J26" s="98">
        <v>0.98125000000000007</v>
      </c>
      <c r="L26">
        <v>20</v>
      </c>
      <c r="M26">
        <v>1585</v>
      </c>
      <c r="N26" t="s">
        <v>142</v>
      </c>
      <c r="O26" t="s">
        <v>142</v>
      </c>
      <c r="P26">
        <v>29.5303</v>
      </c>
      <c r="Q26">
        <v>-95.330879999999993</v>
      </c>
      <c r="R26">
        <v>15</v>
      </c>
      <c r="S26">
        <v>101</v>
      </c>
      <c r="U26">
        <v>1</v>
      </c>
      <c r="X26" t="s">
        <v>323</v>
      </c>
      <c r="Z26" t="s">
        <v>141</v>
      </c>
      <c r="AA26" t="s">
        <v>141</v>
      </c>
      <c r="AB26">
        <v>35</v>
      </c>
      <c r="AC26" t="s">
        <v>141</v>
      </c>
      <c r="AD26" t="s">
        <v>141</v>
      </c>
      <c r="AE26" t="s">
        <v>141</v>
      </c>
      <c r="AF26">
        <v>4</v>
      </c>
      <c r="AG26">
        <v>1128</v>
      </c>
      <c r="AL26" t="s">
        <v>323</v>
      </c>
      <c r="AS26">
        <v>2</v>
      </c>
      <c r="AT26">
        <v>4</v>
      </c>
      <c r="AU26">
        <v>0</v>
      </c>
      <c r="AW26">
        <v>1</v>
      </c>
      <c r="AX26">
        <v>2</v>
      </c>
      <c r="AY26">
        <v>5</v>
      </c>
      <c r="AZ26">
        <v>10000</v>
      </c>
      <c r="BA26">
        <v>8</v>
      </c>
      <c r="BB26">
        <v>2</v>
      </c>
      <c r="BC26">
        <v>2</v>
      </c>
      <c r="BD26">
        <v>17</v>
      </c>
      <c r="BE26">
        <v>64</v>
      </c>
      <c r="BF26">
        <v>38</v>
      </c>
      <c r="BG26">
        <v>1</v>
      </c>
      <c r="BH26">
        <v>3</v>
      </c>
      <c r="BI26">
        <v>1</v>
      </c>
      <c r="BJ26">
        <v>21</v>
      </c>
      <c r="BK26">
        <v>21</v>
      </c>
      <c r="BL26">
        <v>20</v>
      </c>
      <c r="BM26">
        <v>1585</v>
      </c>
      <c r="BN26">
        <v>29.53034328</v>
      </c>
      <c r="BO26">
        <v>-95.330880859999994</v>
      </c>
      <c r="BT26" t="s">
        <v>325</v>
      </c>
      <c r="BU26">
        <v>7125</v>
      </c>
      <c r="CD26" t="s">
        <v>326</v>
      </c>
      <c r="CI26" t="s">
        <v>142</v>
      </c>
      <c r="CJ26" t="s">
        <v>141</v>
      </c>
      <c r="CK26" t="s">
        <v>142</v>
      </c>
      <c r="CL26">
        <v>3</v>
      </c>
      <c r="CM26">
        <v>0</v>
      </c>
      <c r="CN26" t="s">
        <v>142</v>
      </c>
      <c r="CO26" t="s">
        <v>327</v>
      </c>
      <c r="ES26">
        <v>0</v>
      </c>
      <c r="ET26">
        <v>0</v>
      </c>
      <c r="EU26">
        <v>1</v>
      </c>
      <c r="EV26">
        <v>1</v>
      </c>
      <c r="EW26">
        <v>0</v>
      </c>
      <c r="EX26">
        <v>1</v>
      </c>
      <c r="EY26">
        <v>0</v>
      </c>
      <c r="EZ26">
        <v>2013</v>
      </c>
      <c r="FA26">
        <v>2013</v>
      </c>
      <c r="FB26">
        <v>20</v>
      </c>
      <c r="FC26">
        <v>101</v>
      </c>
      <c r="FD26" t="s">
        <v>323</v>
      </c>
    </row>
    <row r="27" spans="1:160" x14ac:dyDescent="0.25">
      <c r="A27">
        <v>11679363</v>
      </c>
      <c r="B27" t="s">
        <v>141</v>
      </c>
      <c r="C27" t="s">
        <v>141</v>
      </c>
      <c r="D27" t="s">
        <v>141</v>
      </c>
      <c r="E27" t="s">
        <v>141</v>
      </c>
      <c r="F27" t="s">
        <v>141</v>
      </c>
      <c r="G27" t="s">
        <v>142</v>
      </c>
      <c r="H27" t="s">
        <v>141</v>
      </c>
      <c r="I27" s="99">
        <v>40253</v>
      </c>
      <c r="J27" s="98">
        <v>0.53472222222222221</v>
      </c>
      <c r="L27">
        <v>20</v>
      </c>
      <c r="M27">
        <v>1585</v>
      </c>
      <c r="N27" t="s">
        <v>142</v>
      </c>
      <c r="O27" t="s">
        <v>142</v>
      </c>
      <c r="P27">
        <v>29.53013</v>
      </c>
      <c r="Q27">
        <v>-95.330820000000003</v>
      </c>
      <c r="R27">
        <v>15</v>
      </c>
      <c r="S27">
        <v>101</v>
      </c>
      <c r="U27">
        <v>1</v>
      </c>
      <c r="X27" t="s">
        <v>323</v>
      </c>
      <c r="Z27" t="s">
        <v>141</v>
      </c>
      <c r="AA27" t="s">
        <v>141</v>
      </c>
      <c r="AB27">
        <v>40</v>
      </c>
      <c r="AC27" t="s">
        <v>141</v>
      </c>
      <c r="AD27" t="s">
        <v>141</v>
      </c>
      <c r="AE27" t="s">
        <v>141</v>
      </c>
      <c r="AF27">
        <v>4</v>
      </c>
      <c r="AG27">
        <v>1128</v>
      </c>
      <c r="AL27" t="s">
        <v>323</v>
      </c>
      <c r="AS27">
        <v>11</v>
      </c>
      <c r="AT27">
        <v>1</v>
      </c>
      <c r="AU27">
        <v>0</v>
      </c>
      <c r="AW27">
        <v>1</v>
      </c>
      <c r="AX27">
        <v>2</v>
      </c>
      <c r="AY27">
        <v>1</v>
      </c>
      <c r="AZ27">
        <v>10000</v>
      </c>
      <c r="BA27">
        <v>8</v>
      </c>
      <c r="BB27">
        <v>2</v>
      </c>
      <c r="BC27">
        <v>3</v>
      </c>
      <c r="BD27">
        <v>14</v>
      </c>
      <c r="BE27">
        <v>64</v>
      </c>
      <c r="BF27">
        <v>14</v>
      </c>
      <c r="BG27">
        <v>1</v>
      </c>
      <c r="BH27">
        <v>4</v>
      </c>
      <c r="BI27">
        <v>1</v>
      </c>
      <c r="BJ27">
        <v>32</v>
      </c>
      <c r="BK27">
        <v>21</v>
      </c>
      <c r="BL27">
        <v>20</v>
      </c>
      <c r="BM27">
        <v>1585</v>
      </c>
      <c r="BN27">
        <v>29.530344400000001</v>
      </c>
      <c r="BO27">
        <v>-95.330824250000006</v>
      </c>
      <c r="BT27" t="s">
        <v>325</v>
      </c>
      <c r="BU27">
        <v>7125</v>
      </c>
      <c r="CD27" t="s">
        <v>322</v>
      </c>
      <c r="CI27" t="s">
        <v>142</v>
      </c>
      <c r="CJ27" t="s">
        <v>141</v>
      </c>
      <c r="CK27" t="s">
        <v>142</v>
      </c>
      <c r="CL27">
        <v>5</v>
      </c>
      <c r="CM27">
        <v>0</v>
      </c>
      <c r="CN27" t="s">
        <v>142</v>
      </c>
      <c r="CO27" t="s">
        <v>336</v>
      </c>
      <c r="ES27">
        <v>0</v>
      </c>
      <c r="ET27">
        <v>0</v>
      </c>
      <c r="EU27">
        <v>0</v>
      </c>
      <c r="EV27">
        <v>4</v>
      </c>
      <c r="EW27">
        <v>0</v>
      </c>
      <c r="EX27">
        <v>0</v>
      </c>
      <c r="EY27">
        <v>0</v>
      </c>
      <c r="EZ27">
        <v>2010</v>
      </c>
      <c r="FA27">
        <v>2010</v>
      </c>
      <c r="FB27">
        <v>20</v>
      </c>
      <c r="FC27">
        <v>101</v>
      </c>
      <c r="FD27" t="s">
        <v>323</v>
      </c>
    </row>
    <row r="28" spans="1:160" x14ac:dyDescent="0.25">
      <c r="A28">
        <v>13361991</v>
      </c>
      <c r="B28" t="s">
        <v>141</v>
      </c>
      <c r="C28" t="s">
        <v>142</v>
      </c>
      <c r="D28" t="s">
        <v>141</v>
      </c>
      <c r="E28" t="s">
        <v>141</v>
      </c>
      <c r="F28" t="s">
        <v>141</v>
      </c>
      <c r="G28" t="s">
        <v>141</v>
      </c>
      <c r="H28" t="s">
        <v>141</v>
      </c>
      <c r="I28" s="99">
        <v>41453</v>
      </c>
      <c r="J28" s="98">
        <v>0.6166666666666667</v>
      </c>
      <c r="L28">
        <v>20</v>
      </c>
      <c r="M28">
        <v>1585</v>
      </c>
      <c r="N28" t="s">
        <v>142</v>
      </c>
      <c r="O28" t="s">
        <v>142</v>
      </c>
      <c r="P28">
        <v>29.530380000000001</v>
      </c>
      <c r="Q28">
        <v>-95.312950000000001</v>
      </c>
      <c r="R28">
        <v>15</v>
      </c>
      <c r="S28">
        <v>101</v>
      </c>
      <c r="U28">
        <v>1</v>
      </c>
      <c r="X28" t="s">
        <v>323</v>
      </c>
      <c r="Z28" t="s">
        <v>141</v>
      </c>
      <c r="AA28" t="s">
        <v>141</v>
      </c>
      <c r="AB28">
        <v>40</v>
      </c>
      <c r="AC28" t="s">
        <v>141</v>
      </c>
      <c r="AD28" t="s">
        <v>141</v>
      </c>
      <c r="AE28" t="s">
        <v>141</v>
      </c>
      <c r="AF28">
        <v>4</v>
      </c>
      <c r="AG28">
        <v>1128</v>
      </c>
      <c r="AL28" t="s">
        <v>323</v>
      </c>
      <c r="AS28">
        <v>11</v>
      </c>
      <c r="AT28">
        <v>1</v>
      </c>
      <c r="AU28">
        <v>0</v>
      </c>
      <c r="AW28">
        <v>1</v>
      </c>
      <c r="AX28">
        <v>1</v>
      </c>
      <c r="AY28">
        <v>5</v>
      </c>
      <c r="AZ28">
        <v>10000</v>
      </c>
      <c r="BA28">
        <v>8</v>
      </c>
      <c r="BB28">
        <v>2</v>
      </c>
      <c r="BC28">
        <v>2</v>
      </c>
      <c r="BD28">
        <v>35</v>
      </c>
      <c r="BE28">
        <v>64</v>
      </c>
      <c r="BF28">
        <v>38</v>
      </c>
      <c r="BG28">
        <v>1</v>
      </c>
      <c r="BH28">
        <v>3</v>
      </c>
      <c r="BI28">
        <v>1</v>
      </c>
      <c r="BJ28">
        <v>21</v>
      </c>
      <c r="BK28">
        <v>21</v>
      </c>
      <c r="BL28">
        <v>20</v>
      </c>
      <c r="BM28">
        <v>1585</v>
      </c>
      <c r="BN28">
        <v>29.530380640000001</v>
      </c>
      <c r="BO28">
        <v>-95.312920129999995</v>
      </c>
      <c r="BT28" t="s">
        <v>356</v>
      </c>
      <c r="BU28">
        <v>16620</v>
      </c>
      <c r="CD28" t="s">
        <v>326</v>
      </c>
      <c r="CI28" t="s">
        <v>142</v>
      </c>
      <c r="CJ28" t="s">
        <v>141</v>
      </c>
      <c r="CK28" t="s">
        <v>142</v>
      </c>
      <c r="CL28">
        <v>5</v>
      </c>
      <c r="CM28">
        <v>0</v>
      </c>
      <c r="CN28" t="s">
        <v>142</v>
      </c>
      <c r="CO28" t="s">
        <v>349</v>
      </c>
      <c r="ES28">
        <v>0</v>
      </c>
      <c r="ET28">
        <v>0</v>
      </c>
      <c r="EU28">
        <v>0</v>
      </c>
      <c r="EV28">
        <v>3</v>
      </c>
      <c r="EW28">
        <v>0</v>
      </c>
      <c r="EX28">
        <v>0</v>
      </c>
      <c r="EY28">
        <v>0</v>
      </c>
      <c r="EZ28">
        <v>2013</v>
      </c>
      <c r="FA28">
        <v>2013</v>
      </c>
      <c r="FB28">
        <v>20</v>
      </c>
      <c r="FC28">
        <v>101</v>
      </c>
      <c r="FD28" t="s">
        <v>323</v>
      </c>
    </row>
    <row r="29" spans="1:160" x14ac:dyDescent="0.25">
      <c r="A29">
        <v>11679411</v>
      </c>
      <c r="B29" t="s">
        <v>141</v>
      </c>
      <c r="C29" t="s">
        <v>141</v>
      </c>
      <c r="D29" t="s">
        <v>141</v>
      </c>
      <c r="E29" t="s">
        <v>141</v>
      </c>
      <c r="F29" t="s">
        <v>141</v>
      </c>
      <c r="G29" t="s">
        <v>141</v>
      </c>
      <c r="H29" t="s">
        <v>141</v>
      </c>
      <c r="I29" s="99">
        <v>40436</v>
      </c>
      <c r="J29" s="98">
        <v>0.3354166666666667</v>
      </c>
      <c r="L29">
        <v>20</v>
      </c>
      <c r="M29">
        <v>1585</v>
      </c>
      <c r="N29" t="s">
        <v>142</v>
      </c>
      <c r="O29" t="s">
        <v>142</v>
      </c>
      <c r="P29">
        <v>29.53009999</v>
      </c>
      <c r="Q29">
        <v>-95.330780000000004</v>
      </c>
      <c r="R29">
        <v>15</v>
      </c>
      <c r="S29">
        <v>101</v>
      </c>
      <c r="U29">
        <v>1</v>
      </c>
      <c r="X29" t="s">
        <v>323</v>
      </c>
      <c r="Z29" t="s">
        <v>141</v>
      </c>
      <c r="AA29" t="s">
        <v>141</v>
      </c>
      <c r="AB29">
        <v>40</v>
      </c>
      <c r="AC29" t="s">
        <v>141</v>
      </c>
      <c r="AD29" t="s">
        <v>141</v>
      </c>
      <c r="AE29" t="s">
        <v>141</v>
      </c>
      <c r="AF29">
        <v>4</v>
      </c>
      <c r="AG29">
        <v>1128</v>
      </c>
      <c r="AL29" t="s">
        <v>323</v>
      </c>
      <c r="AS29">
        <v>11</v>
      </c>
      <c r="AT29">
        <v>1</v>
      </c>
      <c r="AU29">
        <v>0</v>
      </c>
      <c r="AW29">
        <v>1</v>
      </c>
      <c r="AX29">
        <v>1</v>
      </c>
      <c r="AY29">
        <v>11</v>
      </c>
      <c r="AZ29">
        <v>10000</v>
      </c>
      <c r="BA29">
        <v>8</v>
      </c>
      <c r="BB29">
        <v>2</v>
      </c>
      <c r="BC29">
        <v>3</v>
      </c>
      <c r="BD29">
        <v>36</v>
      </c>
      <c r="BE29">
        <v>64</v>
      </c>
      <c r="BF29">
        <v>14</v>
      </c>
      <c r="BG29">
        <v>1</v>
      </c>
      <c r="BH29">
        <v>4</v>
      </c>
      <c r="BI29">
        <v>1</v>
      </c>
      <c r="BJ29">
        <v>32</v>
      </c>
      <c r="BK29">
        <v>21</v>
      </c>
      <c r="BL29">
        <v>20</v>
      </c>
      <c r="BM29">
        <v>1585</v>
      </c>
      <c r="BN29">
        <v>29.530104980000001</v>
      </c>
      <c r="BO29">
        <v>-95.330540310000004</v>
      </c>
      <c r="BT29" t="s">
        <v>357</v>
      </c>
      <c r="BU29">
        <v>3680</v>
      </c>
      <c r="CD29" t="s">
        <v>322</v>
      </c>
      <c r="CI29" t="s">
        <v>142</v>
      </c>
      <c r="CJ29" t="s">
        <v>141</v>
      </c>
      <c r="CK29" t="s">
        <v>142</v>
      </c>
      <c r="CL29">
        <v>5</v>
      </c>
      <c r="CM29">
        <v>0</v>
      </c>
      <c r="CN29" t="s">
        <v>142</v>
      </c>
      <c r="CO29" t="s">
        <v>342</v>
      </c>
      <c r="ES29">
        <v>0</v>
      </c>
      <c r="ET29">
        <v>0</v>
      </c>
      <c r="EU29">
        <v>0</v>
      </c>
      <c r="EV29">
        <v>2</v>
      </c>
      <c r="EW29">
        <v>0</v>
      </c>
      <c r="EX29">
        <v>0</v>
      </c>
      <c r="EY29">
        <v>0</v>
      </c>
      <c r="EZ29">
        <v>2010</v>
      </c>
      <c r="FA29">
        <v>2010</v>
      </c>
      <c r="FB29">
        <v>20</v>
      </c>
      <c r="FC29">
        <v>101</v>
      </c>
      <c r="FD29" t="s">
        <v>323</v>
      </c>
    </row>
    <row r="30" spans="1:160" x14ac:dyDescent="0.25">
      <c r="A30">
        <v>10646626</v>
      </c>
      <c r="B30" t="s">
        <v>141</v>
      </c>
      <c r="C30" t="s">
        <v>142</v>
      </c>
      <c r="F30" t="s">
        <v>141</v>
      </c>
      <c r="G30" t="s">
        <v>141</v>
      </c>
      <c r="I30" s="99">
        <v>39826</v>
      </c>
      <c r="J30" s="98">
        <v>0.63263888888888886</v>
      </c>
      <c r="L30">
        <v>20</v>
      </c>
      <c r="M30">
        <v>1585</v>
      </c>
      <c r="N30" t="s">
        <v>142</v>
      </c>
      <c r="O30" t="s">
        <v>142</v>
      </c>
      <c r="U30">
        <v>1</v>
      </c>
      <c r="W30" t="s">
        <v>358</v>
      </c>
      <c r="X30" t="s">
        <v>338</v>
      </c>
      <c r="Y30" t="s">
        <v>143</v>
      </c>
      <c r="AC30" t="s">
        <v>141</v>
      </c>
      <c r="AD30" t="s">
        <v>141</v>
      </c>
      <c r="AE30" t="s">
        <v>142</v>
      </c>
      <c r="AG30">
        <v>1128</v>
      </c>
      <c r="AL30" t="s">
        <v>323</v>
      </c>
      <c r="AS30">
        <v>1</v>
      </c>
      <c r="AT30">
        <v>1</v>
      </c>
      <c r="AU30">
        <v>4</v>
      </c>
      <c r="AW30">
        <v>2</v>
      </c>
      <c r="AX30">
        <v>1</v>
      </c>
      <c r="AY30">
        <v>5</v>
      </c>
      <c r="AZ30">
        <v>3</v>
      </c>
      <c r="BA30">
        <v>8</v>
      </c>
      <c r="BB30">
        <v>2</v>
      </c>
      <c r="BC30">
        <v>1</v>
      </c>
      <c r="BD30">
        <v>23</v>
      </c>
      <c r="BE30">
        <v>64</v>
      </c>
      <c r="BF30">
        <v>48</v>
      </c>
      <c r="BG30">
        <v>1</v>
      </c>
      <c r="BH30">
        <v>3</v>
      </c>
      <c r="BI30">
        <v>1</v>
      </c>
      <c r="BJ30">
        <v>21</v>
      </c>
      <c r="BK30">
        <v>21</v>
      </c>
      <c r="BL30">
        <v>20</v>
      </c>
      <c r="BM30">
        <v>1585</v>
      </c>
      <c r="BN30">
        <v>29.530362830000001</v>
      </c>
      <c r="BO30">
        <v>-95.330555840000002</v>
      </c>
      <c r="BP30" t="s">
        <v>340</v>
      </c>
      <c r="BQ30">
        <v>1128</v>
      </c>
      <c r="BS30">
        <v>1.9910000000000001</v>
      </c>
      <c r="BT30" t="s">
        <v>341</v>
      </c>
      <c r="BU30">
        <v>4299</v>
      </c>
      <c r="BV30">
        <v>1684</v>
      </c>
      <c r="BW30">
        <v>1</v>
      </c>
      <c r="BX30">
        <v>2.9540000000000002</v>
      </c>
      <c r="BY30">
        <v>486</v>
      </c>
      <c r="BZ30">
        <v>-1.0999999999999999E-2</v>
      </c>
      <c r="CD30" t="s">
        <v>325</v>
      </c>
      <c r="CI30" t="s">
        <v>142</v>
      </c>
      <c r="CJ30" t="s">
        <v>142</v>
      </c>
      <c r="CK30" t="s">
        <v>142</v>
      </c>
      <c r="CL30">
        <v>5</v>
      </c>
      <c r="CM30">
        <v>0</v>
      </c>
      <c r="CN30" t="s">
        <v>142</v>
      </c>
      <c r="CO30" t="s">
        <v>336</v>
      </c>
      <c r="CP30">
        <v>2</v>
      </c>
      <c r="CQ30">
        <v>0</v>
      </c>
      <c r="CR30">
        <v>5</v>
      </c>
      <c r="CS30">
        <v>5</v>
      </c>
      <c r="CT30">
        <v>0</v>
      </c>
      <c r="CU30">
        <v>2</v>
      </c>
      <c r="CV30">
        <v>2</v>
      </c>
      <c r="CW30">
        <v>105</v>
      </c>
      <c r="CX30">
        <v>40</v>
      </c>
      <c r="CY30">
        <v>24</v>
      </c>
      <c r="CZ30">
        <v>4</v>
      </c>
      <c r="DA30">
        <v>0</v>
      </c>
      <c r="DB30">
        <v>0</v>
      </c>
      <c r="DC30">
        <v>2</v>
      </c>
      <c r="DD30">
        <v>5</v>
      </c>
      <c r="DE30">
        <v>5</v>
      </c>
      <c r="DF30">
        <v>2</v>
      </c>
      <c r="DG30">
        <v>5</v>
      </c>
      <c r="DH30">
        <v>5</v>
      </c>
      <c r="DI30">
        <v>0</v>
      </c>
      <c r="DJ30">
        <v>0</v>
      </c>
      <c r="DK30">
        <v>4</v>
      </c>
      <c r="DL30">
        <v>16</v>
      </c>
      <c r="DM30">
        <v>9300</v>
      </c>
      <c r="DN30">
        <v>2011</v>
      </c>
      <c r="DO30">
        <v>9300</v>
      </c>
      <c r="DP30">
        <v>2.2999999999999998</v>
      </c>
      <c r="DQ30">
        <v>2.2000000000000002</v>
      </c>
      <c r="DR30">
        <v>4.7</v>
      </c>
      <c r="ES30">
        <v>0</v>
      </c>
      <c r="ET30">
        <v>0</v>
      </c>
      <c r="EU30">
        <v>0</v>
      </c>
      <c r="EV30">
        <v>2</v>
      </c>
      <c r="EW30">
        <v>0</v>
      </c>
      <c r="EX30">
        <v>0</v>
      </c>
      <c r="EY30">
        <v>0</v>
      </c>
      <c r="EZ30">
        <v>2009</v>
      </c>
      <c r="FA30">
        <v>2009</v>
      </c>
      <c r="FB30">
        <v>20</v>
      </c>
      <c r="FD30" t="s">
        <v>338</v>
      </c>
    </row>
    <row r="31" spans="1:160" x14ac:dyDescent="0.25">
      <c r="A31">
        <v>12988784</v>
      </c>
      <c r="B31" t="s">
        <v>141</v>
      </c>
      <c r="C31" t="s">
        <v>141</v>
      </c>
      <c r="D31" t="s">
        <v>141</v>
      </c>
      <c r="E31" t="s">
        <v>141</v>
      </c>
      <c r="F31" t="s">
        <v>141</v>
      </c>
      <c r="G31" t="s">
        <v>141</v>
      </c>
      <c r="H31" t="s">
        <v>141</v>
      </c>
      <c r="I31" s="99">
        <v>41207</v>
      </c>
      <c r="J31" s="98">
        <v>0.98263888888888884</v>
      </c>
      <c r="L31">
        <v>20</v>
      </c>
      <c r="M31">
        <v>1585</v>
      </c>
      <c r="N31" t="s">
        <v>142</v>
      </c>
      <c r="O31" t="s">
        <v>142</v>
      </c>
      <c r="P31">
        <v>29.43</v>
      </c>
      <c r="Q31">
        <v>-95.35</v>
      </c>
      <c r="R31">
        <v>15</v>
      </c>
      <c r="S31">
        <v>101</v>
      </c>
      <c r="U31">
        <v>1</v>
      </c>
      <c r="X31" t="s">
        <v>323</v>
      </c>
      <c r="Z31" t="s">
        <v>141</v>
      </c>
      <c r="AA31" t="s">
        <v>141</v>
      </c>
      <c r="AB31">
        <v>40</v>
      </c>
      <c r="AC31" t="s">
        <v>141</v>
      </c>
      <c r="AD31" t="s">
        <v>141</v>
      </c>
      <c r="AE31" t="s">
        <v>141</v>
      </c>
      <c r="AF31">
        <v>15</v>
      </c>
      <c r="AG31">
        <v>89</v>
      </c>
      <c r="AL31" t="s">
        <v>359</v>
      </c>
      <c r="AM31" t="s">
        <v>143</v>
      </c>
      <c r="AS31">
        <v>11</v>
      </c>
      <c r="AT31">
        <v>3</v>
      </c>
      <c r="AU31">
        <v>0</v>
      </c>
      <c r="AW31">
        <v>1</v>
      </c>
      <c r="AX31">
        <v>1</v>
      </c>
      <c r="AY31">
        <v>11</v>
      </c>
      <c r="AZ31">
        <v>10000</v>
      </c>
      <c r="BA31">
        <v>8</v>
      </c>
      <c r="BB31">
        <v>7</v>
      </c>
      <c r="BC31">
        <v>4</v>
      </c>
      <c r="BD31">
        <v>1</v>
      </c>
      <c r="BE31">
        <v>36</v>
      </c>
      <c r="BF31">
        <v>3</v>
      </c>
      <c r="BG31">
        <v>1</v>
      </c>
      <c r="BH31">
        <v>4</v>
      </c>
      <c r="BI31">
        <v>2</v>
      </c>
      <c r="BJ31">
        <v>21</v>
      </c>
      <c r="BK31">
        <v>21</v>
      </c>
      <c r="BL31">
        <v>20</v>
      </c>
      <c r="BM31">
        <v>1585</v>
      </c>
      <c r="BT31" t="s">
        <v>331</v>
      </c>
      <c r="CD31" t="s">
        <v>322</v>
      </c>
      <c r="CI31" t="s">
        <v>142</v>
      </c>
      <c r="CJ31" t="s">
        <v>141</v>
      </c>
      <c r="CK31" t="s">
        <v>142</v>
      </c>
      <c r="CL31">
        <v>5</v>
      </c>
      <c r="CM31">
        <v>0</v>
      </c>
      <c r="CN31" t="s">
        <v>141</v>
      </c>
      <c r="CO31" t="s">
        <v>347</v>
      </c>
      <c r="ES31">
        <v>0</v>
      </c>
      <c r="ET31">
        <v>0</v>
      </c>
      <c r="EU31">
        <v>0</v>
      </c>
      <c r="EV31">
        <v>1</v>
      </c>
      <c r="EW31">
        <v>0</v>
      </c>
      <c r="EX31">
        <v>0</v>
      </c>
      <c r="EY31">
        <v>0</v>
      </c>
      <c r="EZ31">
        <v>2012</v>
      </c>
      <c r="FA31">
        <v>2012</v>
      </c>
      <c r="FB31">
        <v>20</v>
      </c>
      <c r="FC31">
        <v>101</v>
      </c>
      <c r="FD31" t="s">
        <v>323</v>
      </c>
    </row>
    <row r="32" spans="1:160" x14ac:dyDescent="0.25">
      <c r="A32">
        <v>11711284</v>
      </c>
      <c r="B32" t="s">
        <v>141</v>
      </c>
      <c r="C32" t="s">
        <v>141</v>
      </c>
      <c r="D32" t="s">
        <v>141</v>
      </c>
      <c r="E32" t="s">
        <v>141</v>
      </c>
      <c r="F32" t="s">
        <v>141</v>
      </c>
      <c r="G32" t="s">
        <v>141</v>
      </c>
      <c r="H32" t="s">
        <v>141</v>
      </c>
      <c r="I32" s="99">
        <v>40484</v>
      </c>
      <c r="J32" s="98">
        <v>0.66597222222222219</v>
      </c>
      <c r="K32" t="s">
        <v>360</v>
      </c>
      <c r="L32">
        <v>20</v>
      </c>
      <c r="M32">
        <v>326</v>
      </c>
      <c r="N32" t="s">
        <v>141</v>
      </c>
      <c r="O32" t="s">
        <v>142</v>
      </c>
      <c r="R32">
        <v>4</v>
      </c>
      <c r="S32">
        <v>1128</v>
      </c>
      <c r="U32">
        <v>1</v>
      </c>
      <c r="V32">
        <v>4100</v>
      </c>
      <c r="X32" t="s">
        <v>339</v>
      </c>
      <c r="Y32" t="s">
        <v>143</v>
      </c>
      <c r="Z32" t="s">
        <v>141</v>
      </c>
      <c r="AA32" t="s">
        <v>141</v>
      </c>
      <c r="AB32">
        <v>55</v>
      </c>
      <c r="AC32" t="s">
        <v>142</v>
      </c>
      <c r="AD32" t="s">
        <v>141</v>
      </c>
      <c r="AE32" t="s">
        <v>142</v>
      </c>
      <c r="AF32">
        <v>15</v>
      </c>
      <c r="AG32">
        <v>101</v>
      </c>
      <c r="AI32">
        <v>1</v>
      </c>
      <c r="AL32" t="s">
        <v>338</v>
      </c>
      <c r="AM32" t="s">
        <v>143</v>
      </c>
      <c r="AS32">
        <v>12</v>
      </c>
      <c r="AT32">
        <v>1</v>
      </c>
      <c r="AU32">
        <v>4</v>
      </c>
      <c r="AV32">
        <v>1</v>
      </c>
      <c r="AW32">
        <v>1</v>
      </c>
      <c r="AX32">
        <v>1</v>
      </c>
      <c r="AY32">
        <v>5</v>
      </c>
      <c r="AZ32">
        <v>1917</v>
      </c>
      <c r="BA32">
        <v>8</v>
      </c>
      <c r="BB32">
        <v>2</v>
      </c>
      <c r="BC32">
        <v>1</v>
      </c>
      <c r="BD32">
        <v>34</v>
      </c>
      <c r="BE32">
        <v>64</v>
      </c>
      <c r="BF32">
        <v>49</v>
      </c>
      <c r="BG32">
        <v>1</v>
      </c>
      <c r="BH32">
        <v>3</v>
      </c>
      <c r="BI32">
        <v>1</v>
      </c>
      <c r="BJ32">
        <v>21</v>
      </c>
      <c r="BK32">
        <v>21</v>
      </c>
      <c r="BL32">
        <v>20</v>
      </c>
      <c r="BM32">
        <v>1585</v>
      </c>
      <c r="BN32">
        <v>29.530362830000001</v>
      </c>
      <c r="BO32">
        <v>-95.330555840000002</v>
      </c>
      <c r="BP32" t="s">
        <v>340</v>
      </c>
      <c r="BQ32">
        <v>1128</v>
      </c>
      <c r="BS32">
        <v>1.9910000000000001</v>
      </c>
      <c r="BT32" t="s">
        <v>341</v>
      </c>
      <c r="BU32">
        <v>4299</v>
      </c>
      <c r="BV32">
        <v>1684</v>
      </c>
      <c r="BW32">
        <v>1</v>
      </c>
      <c r="BX32">
        <v>2.9540000000000002</v>
      </c>
      <c r="BY32">
        <v>486</v>
      </c>
      <c r="BZ32">
        <v>-1.0999999999999999E-2</v>
      </c>
      <c r="CD32" t="s">
        <v>331</v>
      </c>
      <c r="CI32" t="s">
        <v>142</v>
      </c>
      <c r="CJ32" t="s">
        <v>142</v>
      </c>
      <c r="CK32" t="s">
        <v>142</v>
      </c>
      <c r="CL32">
        <v>5</v>
      </c>
      <c r="CM32">
        <v>0</v>
      </c>
      <c r="CN32" t="s">
        <v>142</v>
      </c>
      <c r="CO32" t="s">
        <v>336</v>
      </c>
      <c r="CP32">
        <v>2</v>
      </c>
      <c r="CQ32">
        <v>0</v>
      </c>
      <c r="CR32">
        <v>5</v>
      </c>
      <c r="CS32">
        <v>5</v>
      </c>
      <c r="CT32">
        <v>0</v>
      </c>
      <c r="CU32">
        <v>2</v>
      </c>
      <c r="CV32">
        <v>2</v>
      </c>
      <c r="CW32">
        <v>105</v>
      </c>
      <c r="CX32">
        <v>40</v>
      </c>
      <c r="CY32">
        <v>24</v>
      </c>
      <c r="CZ32">
        <v>4</v>
      </c>
      <c r="DA32">
        <v>0</v>
      </c>
      <c r="DB32">
        <v>0</v>
      </c>
      <c r="DC32">
        <v>2</v>
      </c>
      <c r="DD32">
        <v>5</v>
      </c>
      <c r="DE32">
        <v>5</v>
      </c>
      <c r="DF32">
        <v>2</v>
      </c>
      <c r="DG32">
        <v>5</v>
      </c>
      <c r="DH32">
        <v>5</v>
      </c>
      <c r="DI32">
        <v>0</v>
      </c>
      <c r="DJ32">
        <v>0</v>
      </c>
      <c r="DK32">
        <v>4</v>
      </c>
      <c r="DL32">
        <v>16</v>
      </c>
      <c r="DM32">
        <v>9300</v>
      </c>
      <c r="DN32">
        <v>2011</v>
      </c>
      <c r="DO32">
        <v>9300</v>
      </c>
      <c r="DP32">
        <v>2.2999999999999998</v>
      </c>
      <c r="DQ32">
        <v>2.2000000000000002</v>
      </c>
      <c r="DR32">
        <v>4.7</v>
      </c>
      <c r="ES32">
        <v>0</v>
      </c>
      <c r="ET32">
        <v>0</v>
      </c>
      <c r="EU32">
        <v>0</v>
      </c>
      <c r="EV32">
        <v>2</v>
      </c>
      <c r="EW32">
        <v>0</v>
      </c>
      <c r="EX32">
        <v>0</v>
      </c>
      <c r="EY32">
        <v>0</v>
      </c>
      <c r="EZ32">
        <v>2010</v>
      </c>
      <c r="FA32">
        <v>2010</v>
      </c>
      <c r="FB32">
        <v>20</v>
      </c>
      <c r="FC32">
        <v>1128</v>
      </c>
      <c r="FD32" t="s">
        <v>339</v>
      </c>
    </row>
    <row r="33" spans="1:160" x14ac:dyDescent="0.25">
      <c r="A33">
        <v>11632901</v>
      </c>
      <c r="B33" t="s">
        <v>141</v>
      </c>
      <c r="C33" t="s">
        <v>141</v>
      </c>
      <c r="D33" t="s">
        <v>141</v>
      </c>
      <c r="E33" t="s">
        <v>141</v>
      </c>
      <c r="F33" t="s">
        <v>141</v>
      </c>
      <c r="G33" t="s">
        <v>142</v>
      </c>
      <c r="H33" t="s">
        <v>141</v>
      </c>
      <c r="I33" s="99">
        <v>40408</v>
      </c>
      <c r="J33" s="98">
        <v>0.50902777777777775</v>
      </c>
      <c r="K33" t="s">
        <v>361</v>
      </c>
      <c r="L33">
        <v>20</v>
      </c>
      <c r="M33">
        <v>326</v>
      </c>
      <c r="N33" t="s">
        <v>141</v>
      </c>
      <c r="O33" t="s">
        <v>142</v>
      </c>
      <c r="R33">
        <v>4</v>
      </c>
      <c r="S33">
        <v>1128</v>
      </c>
      <c r="U33">
        <v>1</v>
      </c>
      <c r="V33">
        <v>4100</v>
      </c>
      <c r="X33" t="s">
        <v>339</v>
      </c>
      <c r="Y33" t="s">
        <v>143</v>
      </c>
      <c r="Z33" t="s">
        <v>141</v>
      </c>
      <c r="AA33" t="s">
        <v>141</v>
      </c>
      <c r="AB33">
        <v>50</v>
      </c>
      <c r="AC33" t="s">
        <v>141</v>
      </c>
      <c r="AD33" t="s">
        <v>141</v>
      </c>
      <c r="AE33" t="s">
        <v>142</v>
      </c>
      <c r="AF33">
        <v>15</v>
      </c>
      <c r="AG33">
        <v>101</v>
      </c>
      <c r="AI33">
        <v>1</v>
      </c>
      <c r="AJ33">
        <v>7300</v>
      </c>
      <c r="AL33" t="s">
        <v>338</v>
      </c>
      <c r="AM33" t="s">
        <v>143</v>
      </c>
      <c r="AS33">
        <v>11</v>
      </c>
      <c r="AT33">
        <v>1</v>
      </c>
      <c r="AU33">
        <v>0</v>
      </c>
      <c r="AV33">
        <v>1</v>
      </c>
      <c r="AW33">
        <v>1</v>
      </c>
      <c r="AX33">
        <v>1</v>
      </c>
      <c r="AY33">
        <v>5</v>
      </c>
      <c r="AZ33">
        <v>1917</v>
      </c>
      <c r="BA33">
        <v>8</v>
      </c>
      <c r="BB33">
        <v>2</v>
      </c>
      <c r="BC33">
        <v>1</v>
      </c>
      <c r="BD33">
        <v>10</v>
      </c>
      <c r="BE33">
        <v>1</v>
      </c>
      <c r="BF33">
        <v>54</v>
      </c>
      <c r="BG33">
        <v>1</v>
      </c>
      <c r="BH33">
        <v>3</v>
      </c>
      <c r="BI33">
        <v>1</v>
      </c>
      <c r="BJ33">
        <v>21</v>
      </c>
      <c r="BK33">
        <v>21</v>
      </c>
      <c r="BL33">
        <v>20</v>
      </c>
      <c r="BM33">
        <v>1585</v>
      </c>
      <c r="BN33">
        <v>29.530362830000001</v>
      </c>
      <c r="BO33">
        <v>-95.330555840000002</v>
      </c>
      <c r="BP33" t="s">
        <v>340</v>
      </c>
      <c r="BQ33">
        <v>1128</v>
      </c>
      <c r="BS33">
        <v>1.9910000000000001</v>
      </c>
      <c r="BT33" t="s">
        <v>341</v>
      </c>
      <c r="BU33">
        <v>4299</v>
      </c>
      <c r="BV33">
        <v>1684</v>
      </c>
      <c r="BW33">
        <v>1</v>
      </c>
      <c r="BX33">
        <v>2.9540000000000002</v>
      </c>
      <c r="BY33">
        <v>486</v>
      </c>
      <c r="BZ33">
        <v>-1.0999999999999999E-2</v>
      </c>
      <c r="CD33" t="s">
        <v>331</v>
      </c>
      <c r="CI33" t="s">
        <v>142</v>
      </c>
      <c r="CJ33" t="s">
        <v>142</v>
      </c>
      <c r="CK33" t="s">
        <v>142</v>
      </c>
      <c r="CL33">
        <v>2</v>
      </c>
      <c r="CM33">
        <v>0</v>
      </c>
      <c r="CN33" t="s">
        <v>142</v>
      </c>
      <c r="CO33" t="s">
        <v>342</v>
      </c>
      <c r="CP33">
        <v>2</v>
      </c>
      <c r="CQ33">
        <v>0</v>
      </c>
      <c r="CR33">
        <v>5</v>
      </c>
      <c r="CS33">
        <v>5</v>
      </c>
      <c r="CT33">
        <v>0</v>
      </c>
      <c r="CU33">
        <v>2</v>
      </c>
      <c r="CV33">
        <v>2</v>
      </c>
      <c r="CW33">
        <v>105</v>
      </c>
      <c r="CX33">
        <v>40</v>
      </c>
      <c r="CY33">
        <v>24</v>
      </c>
      <c r="CZ33">
        <v>4</v>
      </c>
      <c r="DA33">
        <v>0</v>
      </c>
      <c r="DB33">
        <v>0</v>
      </c>
      <c r="DC33">
        <v>2</v>
      </c>
      <c r="DD33">
        <v>5</v>
      </c>
      <c r="DE33">
        <v>5</v>
      </c>
      <c r="DF33">
        <v>2</v>
      </c>
      <c r="DG33">
        <v>5</v>
      </c>
      <c r="DH33">
        <v>5</v>
      </c>
      <c r="DI33">
        <v>0</v>
      </c>
      <c r="DJ33">
        <v>0</v>
      </c>
      <c r="DK33">
        <v>4</v>
      </c>
      <c r="DL33">
        <v>16</v>
      </c>
      <c r="DM33">
        <v>9300</v>
      </c>
      <c r="DN33">
        <v>2011</v>
      </c>
      <c r="DO33">
        <v>9300</v>
      </c>
      <c r="DP33">
        <v>2.2999999999999998</v>
      </c>
      <c r="DQ33">
        <v>2.2000000000000002</v>
      </c>
      <c r="DR33">
        <v>4.7</v>
      </c>
      <c r="ES33">
        <v>0</v>
      </c>
      <c r="ET33">
        <v>2</v>
      </c>
      <c r="EU33">
        <v>0</v>
      </c>
      <c r="EV33">
        <v>3</v>
      </c>
      <c r="EW33">
        <v>0</v>
      </c>
      <c r="EX33">
        <v>2</v>
      </c>
      <c r="EY33">
        <v>0</v>
      </c>
      <c r="EZ33">
        <v>2010</v>
      </c>
      <c r="FA33">
        <v>2010</v>
      </c>
      <c r="FB33">
        <v>20</v>
      </c>
      <c r="FC33">
        <v>1128</v>
      </c>
      <c r="FD33" t="s">
        <v>339</v>
      </c>
    </row>
    <row r="34" spans="1:160" x14ac:dyDescent="0.25">
      <c r="A34">
        <v>12020779</v>
      </c>
      <c r="B34" t="s">
        <v>141</v>
      </c>
      <c r="C34" t="s">
        <v>142</v>
      </c>
      <c r="D34" t="s">
        <v>141</v>
      </c>
      <c r="E34" t="s">
        <v>141</v>
      </c>
      <c r="F34" t="s">
        <v>141</v>
      </c>
      <c r="G34" t="s">
        <v>142</v>
      </c>
      <c r="H34" t="s">
        <v>141</v>
      </c>
      <c r="I34" s="99">
        <v>40618</v>
      </c>
      <c r="J34" s="98">
        <v>0.8125</v>
      </c>
      <c r="K34" t="s">
        <v>362</v>
      </c>
      <c r="L34">
        <v>20</v>
      </c>
      <c r="M34">
        <v>326</v>
      </c>
      <c r="N34" t="s">
        <v>141</v>
      </c>
      <c r="O34" t="s">
        <v>142</v>
      </c>
      <c r="R34">
        <v>4</v>
      </c>
      <c r="S34">
        <v>1128</v>
      </c>
      <c r="U34">
        <v>1</v>
      </c>
      <c r="V34">
        <v>4200</v>
      </c>
      <c r="X34" t="s">
        <v>339</v>
      </c>
      <c r="Y34" t="s">
        <v>143</v>
      </c>
      <c r="Z34" t="s">
        <v>141</v>
      </c>
      <c r="AA34" t="s">
        <v>141</v>
      </c>
      <c r="AB34">
        <v>50</v>
      </c>
      <c r="AC34" t="s">
        <v>141</v>
      </c>
      <c r="AD34" t="s">
        <v>141</v>
      </c>
      <c r="AE34" t="s">
        <v>142</v>
      </c>
      <c r="AF34">
        <v>15</v>
      </c>
      <c r="AG34">
        <v>101</v>
      </c>
      <c r="AI34">
        <v>1</v>
      </c>
      <c r="AL34" t="s">
        <v>338</v>
      </c>
      <c r="AM34" t="s">
        <v>143</v>
      </c>
      <c r="AS34">
        <v>11</v>
      </c>
      <c r="AT34">
        <v>4</v>
      </c>
      <c r="AU34">
        <v>4</v>
      </c>
      <c r="AV34">
        <v>1</v>
      </c>
      <c r="AW34">
        <v>1</v>
      </c>
      <c r="AX34">
        <v>1</v>
      </c>
      <c r="AY34">
        <v>5</v>
      </c>
      <c r="AZ34">
        <v>1917</v>
      </c>
      <c r="BA34">
        <v>8</v>
      </c>
      <c r="BB34">
        <v>7</v>
      </c>
      <c r="BC34">
        <v>2</v>
      </c>
      <c r="BD34">
        <v>2</v>
      </c>
      <c r="BE34">
        <v>23</v>
      </c>
      <c r="BF34">
        <v>54</v>
      </c>
      <c r="BG34">
        <v>1</v>
      </c>
      <c r="BH34">
        <v>3</v>
      </c>
      <c r="BI34">
        <v>2</v>
      </c>
      <c r="BJ34">
        <v>21</v>
      </c>
      <c r="BK34">
        <v>21</v>
      </c>
      <c r="BL34">
        <v>20</v>
      </c>
      <c r="BM34">
        <v>1585</v>
      </c>
      <c r="BN34">
        <v>29.530362830000001</v>
      </c>
      <c r="BO34">
        <v>-95.330555840000002</v>
      </c>
      <c r="BP34" t="s">
        <v>340</v>
      </c>
      <c r="BQ34">
        <v>1128</v>
      </c>
      <c r="BS34">
        <v>1.9910000000000001</v>
      </c>
      <c r="BT34" t="s">
        <v>341</v>
      </c>
      <c r="BU34">
        <v>4299</v>
      </c>
      <c r="BV34">
        <v>1684</v>
      </c>
      <c r="BW34">
        <v>1</v>
      </c>
      <c r="BX34">
        <v>2.9540000000000002</v>
      </c>
      <c r="BY34">
        <v>486</v>
      </c>
      <c r="BZ34">
        <v>-1.0999999999999999E-2</v>
      </c>
      <c r="CD34" t="s">
        <v>331</v>
      </c>
      <c r="CI34" t="s">
        <v>142</v>
      </c>
      <c r="CJ34" t="s">
        <v>142</v>
      </c>
      <c r="CK34" t="s">
        <v>142</v>
      </c>
      <c r="CL34">
        <v>5</v>
      </c>
      <c r="CM34">
        <v>0</v>
      </c>
      <c r="CN34" t="s">
        <v>142</v>
      </c>
      <c r="CO34" t="s">
        <v>342</v>
      </c>
      <c r="CP34">
        <v>2</v>
      </c>
      <c r="CQ34">
        <v>0</v>
      </c>
      <c r="CR34">
        <v>5</v>
      </c>
      <c r="CS34">
        <v>5</v>
      </c>
      <c r="CT34">
        <v>0</v>
      </c>
      <c r="CU34">
        <v>2</v>
      </c>
      <c r="CV34">
        <v>2</v>
      </c>
      <c r="CW34">
        <v>105</v>
      </c>
      <c r="CX34">
        <v>40</v>
      </c>
      <c r="CY34">
        <v>24</v>
      </c>
      <c r="CZ34">
        <v>4</v>
      </c>
      <c r="DA34">
        <v>0</v>
      </c>
      <c r="DB34">
        <v>0</v>
      </c>
      <c r="DC34">
        <v>2</v>
      </c>
      <c r="DD34">
        <v>5</v>
      </c>
      <c r="DE34">
        <v>5</v>
      </c>
      <c r="DF34">
        <v>2</v>
      </c>
      <c r="DG34">
        <v>5</v>
      </c>
      <c r="DH34">
        <v>5</v>
      </c>
      <c r="DI34">
        <v>0</v>
      </c>
      <c r="DJ34">
        <v>0</v>
      </c>
      <c r="DK34">
        <v>4</v>
      </c>
      <c r="DL34">
        <v>16</v>
      </c>
      <c r="DM34">
        <v>9300</v>
      </c>
      <c r="DN34">
        <v>2011</v>
      </c>
      <c r="DO34">
        <v>9300</v>
      </c>
      <c r="DP34">
        <v>2.2999999999999998</v>
      </c>
      <c r="DQ34">
        <v>2.2000000000000002</v>
      </c>
      <c r="DR34">
        <v>4.7</v>
      </c>
      <c r="ES34">
        <v>0</v>
      </c>
      <c r="ET34">
        <v>0</v>
      </c>
      <c r="EU34">
        <v>0</v>
      </c>
      <c r="EV34">
        <v>1</v>
      </c>
      <c r="EW34">
        <v>0</v>
      </c>
      <c r="EX34">
        <v>0</v>
      </c>
      <c r="EY34">
        <v>0</v>
      </c>
      <c r="EZ34">
        <v>2011</v>
      </c>
      <c r="FA34">
        <v>2011</v>
      </c>
      <c r="FB34">
        <v>20</v>
      </c>
      <c r="FC34">
        <v>1128</v>
      </c>
      <c r="FD34" t="s">
        <v>339</v>
      </c>
    </row>
    <row r="35" spans="1:160" x14ac:dyDescent="0.25">
      <c r="A35">
        <v>12791331</v>
      </c>
      <c r="B35" t="s">
        <v>141</v>
      </c>
      <c r="C35" t="s">
        <v>141</v>
      </c>
      <c r="D35" t="s">
        <v>141</v>
      </c>
      <c r="E35" t="s">
        <v>141</v>
      </c>
      <c r="F35" t="s">
        <v>141</v>
      </c>
      <c r="G35" t="s">
        <v>141</v>
      </c>
      <c r="H35" t="s">
        <v>141</v>
      </c>
      <c r="I35" s="99">
        <v>41090</v>
      </c>
      <c r="J35" s="98">
        <v>0.55347222222222225</v>
      </c>
      <c r="K35" t="s">
        <v>363</v>
      </c>
      <c r="L35">
        <v>20</v>
      </c>
      <c r="M35">
        <v>326</v>
      </c>
      <c r="N35" t="s">
        <v>141</v>
      </c>
      <c r="O35" t="s">
        <v>142</v>
      </c>
      <c r="R35">
        <v>10</v>
      </c>
      <c r="S35">
        <v>1128</v>
      </c>
      <c r="U35">
        <v>1</v>
      </c>
      <c r="V35">
        <v>4100</v>
      </c>
      <c r="X35" t="s">
        <v>339</v>
      </c>
      <c r="Y35" t="s">
        <v>143</v>
      </c>
      <c r="Z35" t="s">
        <v>141</v>
      </c>
      <c r="AA35" t="s">
        <v>141</v>
      </c>
      <c r="AB35">
        <v>50</v>
      </c>
      <c r="AC35" t="s">
        <v>141</v>
      </c>
      <c r="AD35" t="s">
        <v>141</v>
      </c>
      <c r="AE35" t="s">
        <v>141</v>
      </c>
      <c r="AF35">
        <v>19</v>
      </c>
      <c r="AI35">
        <v>1</v>
      </c>
      <c r="AL35" t="s">
        <v>338</v>
      </c>
      <c r="AM35" t="s">
        <v>143</v>
      </c>
      <c r="AS35">
        <v>2</v>
      </c>
      <c r="AT35">
        <v>1</v>
      </c>
      <c r="AU35">
        <v>0</v>
      </c>
      <c r="AV35">
        <v>1</v>
      </c>
      <c r="AW35">
        <v>1</v>
      </c>
      <c r="AX35">
        <v>2</v>
      </c>
      <c r="AY35">
        <v>5</v>
      </c>
      <c r="AZ35">
        <v>1917</v>
      </c>
      <c r="BA35">
        <v>8</v>
      </c>
      <c r="BB35">
        <v>2</v>
      </c>
      <c r="BC35">
        <v>2</v>
      </c>
      <c r="BD35">
        <v>22</v>
      </c>
      <c r="BE35">
        <v>64</v>
      </c>
      <c r="BF35">
        <v>38</v>
      </c>
      <c r="BG35">
        <v>1</v>
      </c>
      <c r="BH35">
        <v>3</v>
      </c>
      <c r="BI35">
        <v>1</v>
      </c>
      <c r="BJ35">
        <v>21</v>
      </c>
      <c r="BK35">
        <v>21</v>
      </c>
      <c r="BL35">
        <v>20</v>
      </c>
      <c r="BM35">
        <v>1585</v>
      </c>
      <c r="BN35">
        <v>29.53041765</v>
      </c>
      <c r="BO35">
        <v>-95.330556770000001</v>
      </c>
      <c r="BP35" t="s">
        <v>340</v>
      </c>
      <c r="BQ35">
        <v>1128</v>
      </c>
      <c r="BS35">
        <v>1.9870000000000001</v>
      </c>
      <c r="BT35" t="s">
        <v>341</v>
      </c>
      <c r="BU35">
        <v>4250</v>
      </c>
      <c r="BV35">
        <v>1684</v>
      </c>
      <c r="BW35">
        <v>1</v>
      </c>
      <c r="BX35">
        <v>2.9510000000000001</v>
      </c>
      <c r="BY35">
        <v>486</v>
      </c>
      <c r="BZ35">
        <v>-1.4999999999999999E-2</v>
      </c>
      <c r="CD35" t="s">
        <v>325</v>
      </c>
      <c r="CI35" t="s">
        <v>142</v>
      </c>
      <c r="CJ35" t="s">
        <v>142</v>
      </c>
      <c r="CK35" t="s">
        <v>142</v>
      </c>
      <c r="CL35">
        <v>5</v>
      </c>
      <c r="CM35">
        <v>0</v>
      </c>
      <c r="CN35" t="s">
        <v>142</v>
      </c>
      <c r="CO35" t="s">
        <v>144</v>
      </c>
      <c r="CP35">
        <v>2</v>
      </c>
      <c r="CQ35">
        <v>0</v>
      </c>
      <c r="CR35">
        <v>5</v>
      </c>
      <c r="CS35">
        <v>5</v>
      </c>
      <c r="CT35">
        <v>0</v>
      </c>
      <c r="CU35">
        <v>2</v>
      </c>
      <c r="CV35">
        <v>2</v>
      </c>
      <c r="CW35">
        <v>105</v>
      </c>
      <c r="CX35">
        <v>40</v>
      </c>
      <c r="CY35">
        <v>24</v>
      </c>
      <c r="CZ35">
        <v>4</v>
      </c>
      <c r="DA35">
        <v>0</v>
      </c>
      <c r="DB35">
        <v>0</v>
      </c>
      <c r="DC35">
        <v>2</v>
      </c>
      <c r="DD35">
        <v>5</v>
      </c>
      <c r="DE35">
        <v>5</v>
      </c>
      <c r="DF35">
        <v>2</v>
      </c>
      <c r="DG35">
        <v>5</v>
      </c>
      <c r="DH35">
        <v>5</v>
      </c>
      <c r="DI35">
        <v>0</v>
      </c>
      <c r="DJ35">
        <v>0</v>
      </c>
      <c r="DK35">
        <v>4</v>
      </c>
      <c r="DL35">
        <v>16</v>
      </c>
      <c r="DM35">
        <v>9300</v>
      </c>
      <c r="DN35">
        <v>2011</v>
      </c>
      <c r="DO35">
        <v>9300</v>
      </c>
      <c r="DP35">
        <v>2.2999999999999998</v>
      </c>
      <c r="DQ35">
        <v>2.2000000000000002</v>
      </c>
      <c r="DR35">
        <v>4.7</v>
      </c>
      <c r="ES35">
        <v>0</v>
      </c>
      <c r="ET35">
        <v>0</v>
      </c>
      <c r="EU35">
        <v>0</v>
      </c>
      <c r="EV35">
        <v>2</v>
      </c>
      <c r="EW35">
        <v>0</v>
      </c>
      <c r="EX35">
        <v>0</v>
      </c>
      <c r="EY35">
        <v>0</v>
      </c>
      <c r="EZ35">
        <v>2012</v>
      </c>
      <c r="FA35">
        <v>2012</v>
      </c>
      <c r="FB35">
        <v>20</v>
      </c>
      <c r="FC35">
        <v>1128</v>
      </c>
      <c r="FD35" t="s">
        <v>339</v>
      </c>
    </row>
    <row r="36" spans="1:160" x14ac:dyDescent="0.25">
      <c r="A36">
        <v>13472259</v>
      </c>
      <c r="B36" t="s">
        <v>141</v>
      </c>
      <c r="C36" t="s">
        <v>141</v>
      </c>
      <c r="D36" t="s">
        <v>141</v>
      </c>
      <c r="E36" t="s">
        <v>141</v>
      </c>
      <c r="F36" t="s">
        <v>141</v>
      </c>
      <c r="G36" t="s">
        <v>141</v>
      </c>
      <c r="H36" t="s">
        <v>141</v>
      </c>
      <c r="I36" s="99">
        <v>41536</v>
      </c>
      <c r="J36" s="98">
        <v>0.73958333333333337</v>
      </c>
      <c r="L36">
        <v>20</v>
      </c>
      <c r="M36">
        <v>1585</v>
      </c>
      <c r="N36" t="s">
        <v>142</v>
      </c>
      <c r="O36" t="s">
        <v>142</v>
      </c>
      <c r="P36">
        <v>29.530079990000001</v>
      </c>
      <c r="Q36">
        <v>-95.331090000000003</v>
      </c>
      <c r="R36">
        <v>4</v>
      </c>
      <c r="S36">
        <v>1128</v>
      </c>
      <c r="U36">
        <v>1</v>
      </c>
      <c r="X36" t="s">
        <v>323</v>
      </c>
      <c r="Z36" t="s">
        <v>141</v>
      </c>
      <c r="AA36" t="s">
        <v>141</v>
      </c>
      <c r="AB36">
        <v>35</v>
      </c>
      <c r="AC36" t="s">
        <v>141</v>
      </c>
      <c r="AD36" t="s">
        <v>141</v>
      </c>
      <c r="AE36" t="s">
        <v>142</v>
      </c>
      <c r="AF36">
        <v>15</v>
      </c>
      <c r="AG36">
        <v>101</v>
      </c>
      <c r="AI36">
        <v>1</v>
      </c>
      <c r="AL36" t="s">
        <v>323</v>
      </c>
      <c r="AS36">
        <v>2</v>
      </c>
      <c r="AT36">
        <v>1</v>
      </c>
      <c r="AU36">
        <v>4</v>
      </c>
      <c r="AV36">
        <v>1</v>
      </c>
      <c r="AW36">
        <v>1</v>
      </c>
      <c r="AX36">
        <v>2</v>
      </c>
      <c r="AY36">
        <v>5</v>
      </c>
      <c r="AZ36">
        <v>10000</v>
      </c>
      <c r="BA36">
        <v>8</v>
      </c>
      <c r="BB36">
        <v>2</v>
      </c>
      <c r="BC36">
        <v>1</v>
      </c>
      <c r="BD36">
        <v>20</v>
      </c>
      <c r="BE36">
        <v>64</v>
      </c>
      <c r="BF36">
        <v>54</v>
      </c>
      <c r="BG36">
        <v>1</v>
      </c>
      <c r="BH36">
        <v>3</v>
      </c>
      <c r="BI36">
        <v>1</v>
      </c>
      <c r="BJ36">
        <v>21</v>
      </c>
      <c r="BK36">
        <v>21</v>
      </c>
      <c r="BL36">
        <v>20</v>
      </c>
      <c r="BM36">
        <v>1585</v>
      </c>
      <c r="BN36">
        <v>29.530362830000001</v>
      </c>
      <c r="BO36">
        <v>-95.330555840000002</v>
      </c>
      <c r="BP36" t="s">
        <v>340</v>
      </c>
      <c r="BQ36">
        <v>1128</v>
      </c>
      <c r="BS36">
        <v>1.9910000000000001</v>
      </c>
      <c r="BT36" t="s">
        <v>341</v>
      </c>
      <c r="BU36">
        <v>4299</v>
      </c>
      <c r="BV36">
        <v>1684</v>
      </c>
      <c r="BW36">
        <v>1</v>
      </c>
      <c r="BX36">
        <v>2.9540000000000002</v>
      </c>
      <c r="BY36">
        <v>486</v>
      </c>
      <c r="BZ36">
        <v>-1.0999999999999999E-2</v>
      </c>
      <c r="CD36" t="s">
        <v>331</v>
      </c>
      <c r="CI36" t="s">
        <v>142</v>
      </c>
      <c r="CJ36" t="s">
        <v>142</v>
      </c>
      <c r="CK36" t="s">
        <v>142</v>
      </c>
      <c r="CL36">
        <v>5</v>
      </c>
      <c r="CM36">
        <v>0</v>
      </c>
      <c r="CN36" t="s">
        <v>142</v>
      </c>
      <c r="CO36" t="s">
        <v>347</v>
      </c>
      <c r="CP36">
        <v>2</v>
      </c>
      <c r="CQ36">
        <v>0</v>
      </c>
      <c r="CR36">
        <v>5</v>
      </c>
      <c r="CS36">
        <v>5</v>
      </c>
      <c r="CT36">
        <v>0</v>
      </c>
      <c r="CU36">
        <v>2</v>
      </c>
      <c r="CV36">
        <v>2</v>
      </c>
      <c r="CW36">
        <v>105</v>
      </c>
      <c r="CX36">
        <v>40</v>
      </c>
      <c r="CY36">
        <v>24</v>
      </c>
      <c r="CZ36">
        <v>4</v>
      </c>
      <c r="DA36">
        <v>0</v>
      </c>
      <c r="DB36">
        <v>0</v>
      </c>
      <c r="DC36">
        <v>2</v>
      </c>
      <c r="DD36">
        <v>5</v>
      </c>
      <c r="DE36">
        <v>5</v>
      </c>
      <c r="DF36">
        <v>2</v>
      </c>
      <c r="DG36">
        <v>5</v>
      </c>
      <c r="DH36">
        <v>5</v>
      </c>
      <c r="DI36">
        <v>0</v>
      </c>
      <c r="DJ36">
        <v>0</v>
      </c>
      <c r="DK36">
        <v>4</v>
      </c>
      <c r="DL36">
        <v>16</v>
      </c>
      <c r="DM36">
        <v>9300</v>
      </c>
      <c r="DN36">
        <v>2011</v>
      </c>
      <c r="DO36">
        <v>9300</v>
      </c>
      <c r="DP36">
        <v>2.2999999999999998</v>
      </c>
      <c r="DQ36">
        <v>2.2000000000000002</v>
      </c>
      <c r="DR36">
        <v>4.7</v>
      </c>
      <c r="ES36">
        <v>0</v>
      </c>
      <c r="ET36">
        <v>0</v>
      </c>
      <c r="EU36">
        <v>0</v>
      </c>
      <c r="EV36">
        <v>2</v>
      </c>
      <c r="EW36">
        <v>0</v>
      </c>
      <c r="EX36">
        <v>0</v>
      </c>
      <c r="EY36">
        <v>0</v>
      </c>
      <c r="EZ36">
        <v>2013</v>
      </c>
      <c r="FA36">
        <v>2013</v>
      </c>
      <c r="FB36">
        <v>20</v>
      </c>
      <c r="FC36">
        <v>1128</v>
      </c>
      <c r="FD36" t="s">
        <v>323</v>
      </c>
    </row>
    <row r="37" spans="1:160" x14ac:dyDescent="0.25">
      <c r="A37">
        <v>12415703</v>
      </c>
      <c r="B37" t="s">
        <v>141</v>
      </c>
      <c r="C37" t="s">
        <v>141</v>
      </c>
      <c r="D37" t="s">
        <v>141</v>
      </c>
      <c r="E37" t="s">
        <v>141</v>
      </c>
      <c r="F37" t="s">
        <v>141</v>
      </c>
      <c r="G37" t="s">
        <v>141</v>
      </c>
      <c r="H37" t="s">
        <v>141</v>
      </c>
      <c r="I37" s="99">
        <v>40849</v>
      </c>
      <c r="J37" s="98">
        <v>0.75138888888888899</v>
      </c>
      <c r="L37">
        <v>20</v>
      </c>
      <c r="M37">
        <v>1585</v>
      </c>
      <c r="N37" t="s">
        <v>142</v>
      </c>
      <c r="O37" t="s">
        <v>142</v>
      </c>
      <c r="P37">
        <v>29.53012</v>
      </c>
      <c r="Q37">
        <v>-95.347239999999999</v>
      </c>
      <c r="R37">
        <v>15</v>
      </c>
      <c r="S37">
        <v>89</v>
      </c>
      <c r="U37">
        <v>1</v>
      </c>
      <c r="X37" t="s">
        <v>323</v>
      </c>
      <c r="Z37" t="s">
        <v>141</v>
      </c>
      <c r="AA37" t="s">
        <v>141</v>
      </c>
      <c r="AB37">
        <v>45</v>
      </c>
      <c r="AC37" t="s">
        <v>141</v>
      </c>
      <c r="AD37" t="s">
        <v>141</v>
      </c>
      <c r="AE37" t="s">
        <v>142</v>
      </c>
      <c r="AF37">
        <v>15</v>
      </c>
      <c r="AG37">
        <v>101</v>
      </c>
      <c r="AI37">
        <v>1</v>
      </c>
      <c r="AL37" t="s">
        <v>323</v>
      </c>
      <c r="AS37">
        <v>11</v>
      </c>
      <c r="AT37">
        <v>1</v>
      </c>
      <c r="AU37">
        <v>4</v>
      </c>
      <c r="AW37">
        <v>1</v>
      </c>
      <c r="AX37">
        <v>1</v>
      </c>
      <c r="AY37">
        <v>8</v>
      </c>
      <c r="AZ37">
        <v>10000</v>
      </c>
      <c r="BA37">
        <v>8</v>
      </c>
      <c r="BB37">
        <v>2</v>
      </c>
      <c r="BC37">
        <v>1</v>
      </c>
      <c r="BD37">
        <v>10</v>
      </c>
      <c r="BE37">
        <v>64</v>
      </c>
      <c r="BF37">
        <v>54</v>
      </c>
      <c r="BG37">
        <v>1</v>
      </c>
      <c r="BH37">
        <v>4</v>
      </c>
      <c r="BI37">
        <v>1</v>
      </c>
      <c r="BJ37">
        <v>21</v>
      </c>
      <c r="BK37">
        <v>21</v>
      </c>
      <c r="BL37">
        <v>20</v>
      </c>
      <c r="BM37">
        <v>1585</v>
      </c>
      <c r="BN37">
        <v>29.530104999999999</v>
      </c>
      <c r="BO37">
        <v>-95.347256000000002</v>
      </c>
      <c r="BT37" t="s">
        <v>351</v>
      </c>
      <c r="BU37">
        <v>4499</v>
      </c>
      <c r="CD37" t="s">
        <v>326</v>
      </c>
      <c r="CI37" t="s">
        <v>142</v>
      </c>
      <c r="CJ37" t="s">
        <v>141</v>
      </c>
      <c r="CK37" t="s">
        <v>142</v>
      </c>
      <c r="CL37">
        <v>3</v>
      </c>
      <c r="CM37">
        <v>0</v>
      </c>
      <c r="CN37" t="s">
        <v>142</v>
      </c>
      <c r="CO37" t="s">
        <v>342</v>
      </c>
      <c r="ES37">
        <v>0</v>
      </c>
      <c r="ET37">
        <v>0</v>
      </c>
      <c r="EU37">
        <v>2</v>
      </c>
      <c r="EV37">
        <v>1</v>
      </c>
      <c r="EW37">
        <v>0</v>
      </c>
      <c r="EX37">
        <v>2</v>
      </c>
      <c r="EY37">
        <v>0</v>
      </c>
      <c r="EZ37">
        <v>2011</v>
      </c>
      <c r="FA37">
        <v>2011</v>
      </c>
      <c r="FB37">
        <v>20</v>
      </c>
      <c r="FC37">
        <v>89</v>
      </c>
      <c r="FD37" t="s">
        <v>323</v>
      </c>
    </row>
    <row r="38" spans="1:160" x14ac:dyDescent="0.25">
      <c r="A38">
        <v>11831503</v>
      </c>
      <c r="B38" t="s">
        <v>141</v>
      </c>
      <c r="C38" t="s">
        <v>141</v>
      </c>
      <c r="D38" t="s">
        <v>141</v>
      </c>
      <c r="E38" t="s">
        <v>141</v>
      </c>
      <c r="F38" t="s">
        <v>141</v>
      </c>
      <c r="G38" t="s">
        <v>141</v>
      </c>
      <c r="H38" t="s">
        <v>141</v>
      </c>
      <c r="I38" s="99">
        <v>40489</v>
      </c>
      <c r="J38" s="98">
        <v>0.56944444444444442</v>
      </c>
      <c r="L38">
        <v>20</v>
      </c>
      <c r="M38">
        <v>1585</v>
      </c>
      <c r="N38" t="s">
        <v>142</v>
      </c>
      <c r="O38" t="s">
        <v>142</v>
      </c>
      <c r="P38">
        <v>29.53002</v>
      </c>
      <c r="Q38">
        <v>-95.347300000000004</v>
      </c>
      <c r="R38">
        <v>15</v>
      </c>
      <c r="S38">
        <v>89</v>
      </c>
      <c r="U38">
        <v>1</v>
      </c>
      <c r="X38" t="s">
        <v>323</v>
      </c>
      <c r="Z38" t="s">
        <v>141</v>
      </c>
      <c r="AA38" t="s">
        <v>141</v>
      </c>
      <c r="AB38">
        <v>35</v>
      </c>
      <c r="AC38" t="s">
        <v>141</v>
      </c>
      <c r="AD38" t="s">
        <v>141</v>
      </c>
      <c r="AE38" t="s">
        <v>142</v>
      </c>
      <c r="AF38">
        <v>15</v>
      </c>
      <c r="AG38">
        <v>101</v>
      </c>
      <c r="AI38">
        <v>1</v>
      </c>
      <c r="AL38" t="s">
        <v>323</v>
      </c>
      <c r="AS38">
        <v>11</v>
      </c>
      <c r="AT38">
        <v>1</v>
      </c>
      <c r="AU38">
        <v>4</v>
      </c>
      <c r="AW38">
        <v>1</v>
      </c>
      <c r="AX38">
        <v>1</v>
      </c>
      <c r="AY38">
        <v>8</v>
      </c>
      <c r="AZ38">
        <v>10000</v>
      </c>
      <c r="BA38">
        <v>8</v>
      </c>
      <c r="BB38">
        <v>2</v>
      </c>
      <c r="BC38">
        <v>1</v>
      </c>
      <c r="BD38">
        <v>10</v>
      </c>
      <c r="BE38">
        <v>64</v>
      </c>
      <c r="BF38">
        <v>54</v>
      </c>
      <c r="BG38">
        <v>1</v>
      </c>
      <c r="BH38">
        <v>4</v>
      </c>
      <c r="BI38">
        <v>1</v>
      </c>
      <c r="BJ38">
        <v>21</v>
      </c>
      <c r="BK38">
        <v>21</v>
      </c>
      <c r="BL38">
        <v>20</v>
      </c>
      <c r="BM38">
        <v>1585</v>
      </c>
      <c r="BN38">
        <v>29.530020700000001</v>
      </c>
      <c r="BO38">
        <v>-95.347254710000001</v>
      </c>
      <c r="BT38" t="s">
        <v>348</v>
      </c>
      <c r="BU38">
        <v>3704</v>
      </c>
      <c r="CD38" t="s">
        <v>326</v>
      </c>
      <c r="CI38" t="s">
        <v>142</v>
      </c>
      <c r="CJ38" t="s">
        <v>141</v>
      </c>
      <c r="CK38" t="s">
        <v>142</v>
      </c>
      <c r="CL38">
        <v>2</v>
      </c>
      <c r="CM38">
        <v>0</v>
      </c>
      <c r="CN38" t="s">
        <v>142</v>
      </c>
      <c r="CO38" t="s">
        <v>327</v>
      </c>
      <c r="ES38">
        <v>0</v>
      </c>
      <c r="ET38">
        <v>1</v>
      </c>
      <c r="EU38">
        <v>0</v>
      </c>
      <c r="EV38">
        <v>2</v>
      </c>
      <c r="EW38">
        <v>0</v>
      </c>
      <c r="EX38">
        <v>1</v>
      </c>
      <c r="EY38">
        <v>0</v>
      </c>
      <c r="EZ38">
        <v>2010</v>
      </c>
      <c r="FA38">
        <v>2010</v>
      </c>
      <c r="FB38">
        <v>20</v>
      </c>
      <c r="FC38">
        <v>89</v>
      </c>
      <c r="FD38" t="s">
        <v>323</v>
      </c>
    </row>
    <row r="39" spans="1:160" x14ac:dyDescent="0.25">
      <c r="A39">
        <v>12412871</v>
      </c>
      <c r="B39" t="s">
        <v>141</v>
      </c>
      <c r="C39" t="s">
        <v>141</v>
      </c>
      <c r="D39" t="s">
        <v>141</v>
      </c>
      <c r="E39" t="s">
        <v>141</v>
      </c>
      <c r="F39" t="s">
        <v>141</v>
      </c>
      <c r="G39" t="s">
        <v>141</v>
      </c>
      <c r="H39" t="s">
        <v>141</v>
      </c>
      <c r="I39" s="99">
        <v>40825</v>
      </c>
      <c r="J39" s="98">
        <v>0.85416666666666663</v>
      </c>
      <c r="L39">
        <v>20</v>
      </c>
      <c r="M39">
        <v>1585</v>
      </c>
      <c r="N39" t="s">
        <v>142</v>
      </c>
      <c r="O39" t="s">
        <v>142</v>
      </c>
      <c r="P39">
        <v>29.530110000000001</v>
      </c>
      <c r="Q39">
        <v>-95.347290000000001</v>
      </c>
      <c r="R39">
        <v>15</v>
      </c>
      <c r="S39">
        <v>89</v>
      </c>
      <c r="U39">
        <v>1</v>
      </c>
      <c r="X39" t="s">
        <v>323</v>
      </c>
      <c r="Z39" t="s">
        <v>141</v>
      </c>
      <c r="AA39" t="s">
        <v>141</v>
      </c>
      <c r="AB39">
        <v>40</v>
      </c>
      <c r="AC39" t="s">
        <v>141</v>
      </c>
      <c r="AD39" t="s">
        <v>141</v>
      </c>
      <c r="AE39" t="s">
        <v>142</v>
      </c>
      <c r="AF39">
        <v>15</v>
      </c>
      <c r="AG39">
        <v>101</v>
      </c>
      <c r="AI39">
        <v>1</v>
      </c>
      <c r="AL39" t="s">
        <v>323</v>
      </c>
      <c r="AS39">
        <v>2</v>
      </c>
      <c r="AT39">
        <v>3</v>
      </c>
      <c r="AU39">
        <v>4</v>
      </c>
      <c r="AW39">
        <v>1</v>
      </c>
      <c r="AX39">
        <v>2</v>
      </c>
      <c r="AY39">
        <v>8</v>
      </c>
      <c r="AZ39">
        <v>10000</v>
      </c>
      <c r="BA39">
        <v>8</v>
      </c>
      <c r="BB39">
        <v>2</v>
      </c>
      <c r="BC39">
        <v>1</v>
      </c>
      <c r="BD39">
        <v>10</v>
      </c>
      <c r="BE39">
        <v>64</v>
      </c>
      <c r="BF39">
        <v>54</v>
      </c>
      <c r="BG39">
        <v>1</v>
      </c>
      <c r="BH39">
        <v>4</v>
      </c>
      <c r="BI39">
        <v>1</v>
      </c>
      <c r="BJ39">
        <v>21</v>
      </c>
      <c r="BK39">
        <v>21</v>
      </c>
      <c r="BL39">
        <v>20</v>
      </c>
      <c r="BM39">
        <v>1585</v>
      </c>
      <c r="BN39">
        <v>29.530104229999999</v>
      </c>
      <c r="BO39">
        <v>-95.347289869999997</v>
      </c>
      <c r="BT39" t="s">
        <v>351</v>
      </c>
      <c r="BU39">
        <v>4498</v>
      </c>
      <c r="CD39" t="s">
        <v>326</v>
      </c>
      <c r="CI39" t="s">
        <v>142</v>
      </c>
      <c r="CJ39" t="s">
        <v>141</v>
      </c>
      <c r="CK39" t="s">
        <v>142</v>
      </c>
      <c r="CL39">
        <v>5</v>
      </c>
      <c r="CM39">
        <v>0</v>
      </c>
      <c r="CN39" t="s">
        <v>142</v>
      </c>
      <c r="CO39" t="s">
        <v>327</v>
      </c>
      <c r="ES39">
        <v>0</v>
      </c>
      <c r="ET39">
        <v>0</v>
      </c>
      <c r="EU39">
        <v>0</v>
      </c>
      <c r="EV39">
        <v>3</v>
      </c>
      <c r="EW39">
        <v>0</v>
      </c>
      <c r="EX39">
        <v>0</v>
      </c>
      <c r="EY39">
        <v>0</v>
      </c>
      <c r="EZ39">
        <v>2011</v>
      </c>
      <c r="FA39">
        <v>2011</v>
      </c>
      <c r="FB39">
        <v>20</v>
      </c>
      <c r="FC39">
        <v>89</v>
      </c>
      <c r="FD39" t="s">
        <v>323</v>
      </c>
    </row>
    <row r="40" spans="1:160" x14ac:dyDescent="0.25">
      <c r="A40">
        <v>12886323</v>
      </c>
      <c r="B40" t="s">
        <v>141</v>
      </c>
      <c r="C40" t="s">
        <v>142</v>
      </c>
      <c r="D40" t="s">
        <v>141</v>
      </c>
      <c r="E40" t="s">
        <v>141</v>
      </c>
      <c r="F40" t="s">
        <v>141</v>
      </c>
      <c r="G40" t="s">
        <v>141</v>
      </c>
      <c r="H40" t="s">
        <v>141</v>
      </c>
      <c r="I40" s="99">
        <v>41106</v>
      </c>
      <c r="J40" s="98">
        <v>0.77083333333333337</v>
      </c>
      <c r="L40">
        <v>20</v>
      </c>
      <c r="M40">
        <v>1585</v>
      </c>
      <c r="N40" t="s">
        <v>142</v>
      </c>
      <c r="O40" t="s">
        <v>142</v>
      </c>
      <c r="P40">
        <v>29.53009999</v>
      </c>
      <c r="Q40">
        <v>-95.347250000000003</v>
      </c>
      <c r="R40">
        <v>15</v>
      </c>
      <c r="S40">
        <v>89</v>
      </c>
      <c r="U40">
        <v>1</v>
      </c>
      <c r="X40" t="s">
        <v>323</v>
      </c>
      <c r="Z40" t="s">
        <v>141</v>
      </c>
      <c r="AA40" t="s">
        <v>141</v>
      </c>
      <c r="AB40">
        <v>35</v>
      </c>
      <c r="AC40" t="s">
        <v>141</v>
      </c>
      <c r="AD40" t="s">
        <v>141</v>
      </c>
      <c r="AE40" t="s">
        <v>142</v>
      </c>
      <c r="AF40">
        <v>15</v>
      </c>
      <c r="AG40">
        <v>101</v>
      </c>
      <c r="AI40">
        <v>1</v>
      </c>
      <c r="AL40" t="s">
        <v>323</v>
      </c>
      <c r="AS40">
        <v>11</v>
      </c>
      <c r="AT40">
        <v>1</v>
      </c>
      <c r="AU40">
        <v>4</v>
      </c>
      <c r="AW40">
        <v>1</v>
      </c>
      <c r="AX40">
        <v>1</v>
      </c>
      <c r="AY40">
        <v>8</v>
      </c>
      <c r="AZ40">
        <v>10000</v>
      </c>
      <c r="BA40">
        <v>8</v>
      </c>
      <c r="BB40">
        <v>2</v>
      </c>
      <c r="BC40">
        <v>1</v>
      </c>
      <c r="BD40">
        <v>10</v>
      </c>
      <c r="BE40">
        <v>64</v>
      </c>
      <c r="BF40">
        <v>54</v>
      </c>
      <c r="BG40">
        <v>1</v>
      </c>
      <c r="BH40">
        <v>4</v>
      </c>
      <c r="BI40">
        <v>1</v>
      </c>
      <c r="BJ40">
        <v>21</v>
      </c>
      <c r="BK40">
        <v>21</v>
      </c>
      <c r="BL40">
        <v>20</v>
      </c>
      <c r="BM40">
        <v>1585</v>
      </c>
      <c r="BN40">
        <v>29.530105150000001</v>
      </c>
      <c r="BO40">
        <v>-95.347250130000006</v>
      </c>
      <c r="BT40" t="s">
        <v>325</v>
      </c>
      <c r="BU40">
        <v>8099</v>
      </c>
      <c r="CD40" t="s">
        <v>326</v>
      </c>
      <c r="CI40" t="s">
        <v>142</v>
      </c>
      <c r="CJ40" t="s">
        <v>141</v>
      </c>
      <c r="CK40" t="s">
        <v>142</v>
      </c>
      <c r="CL40">
        <v>5</v>
      </c>
      <c r="CM40">
        <v>0</v>
      </c>
      <c r="CN40" t="s">
        <v>142</v>
      </c>
      <c r="CO40" t="s">
        <v>140</v>
      </c>
      <c r="ES40">
        <v>0</v>
      </c>
      <c r="ET40">
        <v>0</v>
      </c>
      <c r="EU40">
        <v>0</v>
      </c>
      <c r="EV40">
        <v>4</v>
      </c>
      <c r="EW40">
        <v>0</v>
      </c>
      <c r="EX40">
        <v>0</v>
      </c>
      <c r="EY40">
        <v>0</v>
      </c>
      <c r="EZ40">
        <v>2012</v>
      </c>
      <c r="FA40">
        <v>2012</v>
      </c>
      <c r="FB40">
        <v>20</v>
      </c>
      <c r="FC40">
        <v>89</v>
      </c>
      <c r="FD40" t="s">
        <v>323</v>
      </c>
    </row>
    <row r="41" spans="1:160" x14ac:dyDescent="0.25">
      <c r="A41">
        <v>12352163</v>
      </c>
      <c r="B41" t="s">
        <v>141</v>
      </c>
      <c r="C41" t="s">
        <v>141</v>
      </c>
      <c r="D41" t="s">
        <v>141</v>
      </c>
      <c r="E41" t="s">
        <v>141</v>
      </c>
      <c r="F41" t="s">
        <v>141</v>
      </c>
      <c r="G41" t="s">
        <v>142</v>
      </c>
      <c r="H41" t="s">
        <v>141</v>
      </c>
      <c r="I41" s="99">
        <v>40566</v>
      </c>
      <c r="J41" s="98">
        <v>7.2916666666666671E-2</v>
      </c>
      <c r="L41">
        <v>20</v>
      </c>
      <c r="M41">
        <v>1585</v>
      </c>
      <c r="N41" t="s">
        <v>142</v>
      </c>
      <c r="O41" t="s">
        <v>142</v>
      </c>
      <c r="P41">
        <v>29.533110000000001</v>
      </c>
      <c r="Q41">
        <v>-95.347009999999997</v>
      </c>
      <c r="R41">
        <v>15</v>
      </c>
      <c r="S41">
        <v>89</v>
      </c>
      <c r="U41">
        <v>1</v>
      </c>
      <c r="X41" t="s">
        <v>323</v>
      </c>
      <c r="Z41" t="s">
        <v>141</v>
      </c>
      <c r="AA41" t="s">
        <v>141</v>
      </c>
      <c r="AB41">
        <v>45</v>
      </c>
      <c r="AC41" t="s">
        <v>141</v>
      </c>
      <c r="AD41" t="s">
        <v>141</v>
      </c>
      <c r="AE41" t="s">
        <v>141</v>
      </c>
      <c r="AF41">
        <v>15</v>
      </c>
      <c r="AG41">
        <v>101</v>
      </c>
      <c r="AL41" t="s">
        <v>323</v>
      </c>
      <c r="AS41">
        <v>11</v>
      </c>
      <c r="AT41">
        <v>3</v>
      </c>
      <c r="AU41">
        <v>0</v>
      </c>
      <c r="AW41">
        <v>1</v>
      </c>
      <c r="AX41">
        <v>1</v>
      </c>
      <c r="AY41">
        <v>8</v>
      </c>
      <c r="AZ41">
        <v>10000</v>
      </c>
      <c r="BA41">
        <v>8</v>
      </c>
      <c r="BB41">
        <v>2</v>
      </c>
      <c r="BC41">
        <v>2</v>
      </c>
      <c r="BD41">
        <v>17</v>
      </c>
      <c r="BE41">
        <v>64</v>
      </c>
      <c r="BF41">
        <v>54</v>
      </c>
      <c r="BG41">
        <v>1</v>
      </c>
      <c r="BH41">
        <v>4</v>
      </c>
      <c r="BI41">
        <v>1</v>
      </c>
      <c r="BJ41">
        <v>21</v>
      </c>
      <c r="BK41">
        <v>21</v>
      </c>
      <c r="BL41">
        <v>20</v>
      </c>
      <c r="BM41">
        <v>1585</v>
      </c>
      <c r="BN41">
        <v>29.53310239</v>
      </c>
      <c r="BO41">
        <v>-95.347329400000007</v>
      </c>
      <c r="BT41" t="s">
        <v>348</v>
      </c>
      <c r="BU41">
        <v>3619</v>
      </c>
      <c r="CD41" t="s">
        <v>326</v>
      </c>
      <c r="CI41" t="s">
        <v>142</v>
      </c>
      <c r="CJ41" t="s">
        <v>141</v>
      </c>
      <c r="CK41" t="s">
        <v>142</v>
      </c>
      <c r="CL41">
        <v>5</v>
      </c>
      <c r="CM41">
        <v>0</v>
      </c>
      <c r="CN41" t="s">
        <v>142</v>
      </c>
      <c r="CO41" t="s">
        <v>327</v>
      </c>
      <c r="ES41">
        <v>0</v>
      </c>
      <c r="ET41">
        <v>0</v>
      </c>
      <c r="EU41">
        <v>0</v>
      </c>
      <c r="EV41">
        <v>4</v>
      </c>
      <c r="EW41">
        <v>0</v>
      </c>
      <c r="EX41">
        <v>0</v>
      </c>
      <c r="EY41">
        <v>0</v>
      </c>
      <c r="EZ41">
        <v>2011</v>
      </c>
      <c r="FA41">
        <v>2011</v>
      </c>
      <c r="FB41">
        <v>20</v>
      </c>
      <c r="FC41">
        <v>89</v>
      </c>
      <c r="FD41" t="s">
        <v>323</v>
      </c>
    </row>
    <row r="42" spans="1:160" x14ac:dyDescent="0.25">
      <c r="A42">
        <v>12938418</v>
      </c>
      <c r="B42" t="s">
        <v>141</v>
      </c>
      <c r="C42" t="s">
        <v>141</v>
      </c>
      <c r="D42" t="s">
        <v>141</v>
      </c>
      <c r="E42" t="s">
        <v>141</v>
      </c>
      <c r="F42" t="s">
        <v>141</v>
      </c>
      <c r="G42" t="s">
        <v>141</v>
      </c>
      <c r="H42" t="s">
        <v>141</v>
      </c>
      <c r="I42" s="99">
        <v>41171</v>
      </c>
      <c r="J42" s="98">
        <v>0.80555555555555547</v>
      </c>
      <c r="L42">
        <v>20</v>
      </c>
      <c r="M42">
        <v>1585</v>
      </c>
      <c r="N42" t="s">
        <v>142</v>
      </c>
      <c r="O42" t="s">
        <v>142</v>
      </c>
      <c r="P42">
        <v>29.53978</v>
      </c>
      <c r="Q42">
        <v>-95.368080000000006</v>
      </c>
      <c r="R42">
        <v>15</v>
      </c>
      <c r="S42">
        <v>90</v>
      </c>
      <c r="U42">
        <v>1</v>
      </c>
      <c r="X42" t="s">
        <v>323</v>
      </c>
      <c r="Z42" t="s">
        <v>141</v>
      </c>
      <c r="AA42" t="s">
        <v>141</v>
      </c>
      <c r="AB42">
        <v>30</v>
      </c>
      <c r="AC42" t="s">
        <v>141</v>
      </c>
      <c r="AD42" t="s">
        <v>141</v>
      </c>
      <c r="AE42" t="s">
        <v>141</v>
      </c>
      <c r="AF42">
        <v>15</v>
      </c>
      <c r="AG42">
        <v>101</v>
      </c>
      <c r="AL42" t="s">
        <v>323</v>
      </c>
      <c r="AS42">
        <v>11</v>
      </c>
      <c r="AT42">
        <v>5</v>
      </c>
      <c r="AU42">
        <v>2</v>
      </c>
      <c r="AW42">
        <v>1</v>
      </c>
      <c r="AX42">
        <v>1</v>
      </c>
      <c r="AY42">
        <v>8</v>
      </c>
      <c r="AZ42">
        <v>10000</v>
      </c>
      <c r="BA42">
        <v>8</v>
      </c>
      <c r="BB42">
        <v>1</v>
      </c>
      <c r="BC42">
        <v>2</v>
      </c>
      <c r="BD42">
        <v>2</v>
      </c>
      <c r="BE42">
        <v>64</v>
      </c>
      <c r="BF42">
        <v>54</v>
      </c>
      <c r="BG42">
        <v>1</v>
      </c>
      <c r="BH42">
        <v>4</v>
      </c>
      <c r="BI42">
        <v>1</v>
      </c>
      <c r="BJ42">
        <v>21</v>
      </c>
      <c r="BK42">
        <v>21</v>
      </c>
      <c r="BL42">
        <v>20</v>
      </c>
      <c r="BM42">
        <v>1585</v>
      </c>
      <c r="BN42">
        <v>29.539786769999999</v>
      </c>
      <c r="BO42">
        <v>-95.368031999999999</v>
      </c>
      <c r="BT42" t="s">
        <v>364</v>
      </c>
      <c r="BU42">
        <v>3659</v>
      </c>
      <c r="CD42" t="s">
        <v>326</v>
      </c>
      <c r="CI42" t="s">
        <v>142</v>
      </c>
      <c r="CJ42" t="s">
        <v>141</v>
      </c>
      <c r="CK42" t="s">
        <v>142</v>
      </c>
      <c r="CL42">
        <v>1</v>
      </c>
      <c r="CM42">
        <v>0</v>
      </c>
      <c r="CN42" t="s">
        <v>142</v>
      </c>
      <c r="CO42" t="s">
        <v>342</v>
      </c>
      <c r="ES42">
        <v>1</v>
      </c>
      <c r="ET42">
        <v>0</v>
      </c>
      <c r="EU42">
        <v>0</v>
      </c>
      <c r="EV42">
        <v>2</v>
      </c>
      <c r="EW42">
        <v>0</v>
      </c>
      <c r="EX42">
        <v>1</v>
      </c>
      <c r="EY42">
        <v>0</v>
      </c>
      <c r="EZ42">
        <v>2012</v>
      </c>
      <c r="FA42">
        <v>2012</v>
      </c>
      <c r="FB42">
        <v>20</v>
      </c>
      <c r="FC42">
        <v>90</v>
      </c>
      <c r="FD42" t="s">
        <v>323</v>
      </c>
    </row>
    <row r="43" spans="1:160" x14ac:dyDescent="0.25">
      <c r="A43">
        <v>10702637</v>
      </c>
      <c r="B43" t="s">
        <v>141</v>
      </c>
      <c r="C43" t="s">
        <v>141</v>
      </c>
      <c r="F43" t="s">
        <v>141</v>
      </c>
      <c r="G43" t="s">
        <v>141</v>
      </c>
      <c r="I43" s="99">
        <v>39885</v>
      </c>
      <c r="J43" s="98">
        <v>0.73263888888888884</v>
      </c>
      <c r="L43">
        <v>20</v>
      </c>
      <c r="M43">
        <v>326</v>
      </c>
      <c r="N43" t="s">
        <v>141</v>
      </c>
      <c r="O43" t="s">
        <v>141</v>
      </c>
      <c r="S43">
        <v>1128</v>
      </c>
      <c r="U43">
        <v>1</v>
      </c>
      <c r="V43">
        <v>3700</v>
      </c>
      <c r="X43" t="s">
        <v>323</v>
      </c>
      <c r="AC43" t="s">
        <v>141</v>
      </c>
      <c r="AD43" t="s">
        <v>141</v>
      </c>
      <c r="AE43" t="s">
        <v>141</v>
      </c>
      <c r="AK43" t="s">
        <v>358</v>
      </c>
      <c r="AL43" t="s">
        <v>338</v>
      </c>
      <c r="AM43" t="s">
        <v>143</v>
      </c>
      <c r="AS43">
        <v>1</v>
      </c>
      <c r="AT43">
        <v>1</v>
      </c>
      <c r="AU43">
        <v>4</v>
      </c>
      <c r="AW43">
        <v>1</v>
      </c>
      <c r="AX43">
        <v>2</v>
      </c>
      <c r="AY43">
        <v>5</v>
      </c>
      <c r="AZ43">
        <v>3</v>
      </c>
      <c r="BA43">
        <v>8</v>
      </c>
      <c r="BB43">
        <v>2</v>
      </c>
      <c r="BC43">
        <v>2</v>
      </c>
      <c r="BD43">
        <v>22</v>
      </c>
      <c r="BE43">
        <v>64</v>
      </c>
      <c r="BF43">
        <v>38</v>
      </c>
      <c r="BG43">
        <v>1</v>
      </c>
      <c r="BH43">
        <v>3</v>
      </c>
      <c r="BI43">
        <v>1</v>
      </c>
      <c r="BJ43">
        <v>21</v>
      </c>
      <c r="BK43">
        <v>21</v>
      </c>
      <c r="BL43">
        <v>20</v>
      </c>
      <c r="BM43">
        <v>326</v>
      </c>
      <c r="BN43">
        <v>29.53047248</v>
      </c>
      <c r="BO43">
        <v>-95.330557709999994</v>
      </c>
      <c r="BP43" t="s">
        <v>340</v>
      </c>
      <c r="BQ43">
        <v>1128</v>
      </c>
      <c r="BS43">
        <v>1.9830000000000001</v>
      </c>
      <c r="BT43" t="s">
        <v>341</v>
      </c>
      <c r="BU43">
        <v>4201</v>
      </c>
      <c r="BV43">
        <v>1684</v>
      </c>
      <c r="BW43">
        <v>1</v>
      </c>
      <c r="BX43">
        <v>2.9470000000000001</v>
      </c>
      <c r="BY43">
        <v>486</v>
      </c>
      <c r="BZ43">
        <v>-1.9E-2</v>
      </c>
      <c r="CD43" t="s">
        <v>325</v>
      </c>
      <c r="CI43" t="s">
        <v>142</v>
      </c>
      <c r="CJ43" t="s">
        <v>142</v>
      </c>
      <c r="CK43" t="s">
        <v>141</v>
      </c>
      <c r="CL43">
        <v>3</v>
      </c>
      <c r="CM43">
        <v>7</v>
      </c>
      <c r="CN43" t="s">
        <v>142</v>
      </c>
      <c r="CO43" t="s">
        <v>349</v>
      </c>
      <c r="CP43">
        <v>2</v>
      </c>
      <c r="CQ43">
        <v>0</v>
      </c>
      <c r="CR43">
        <v>5</v>
      </c>
      <c r="CS43">
        <v>5</v>
      </c>
      <c r="CT43">
        <v>0</v>
      </c>
      <c r="CU43">
        <v>2</v>
      </c>
      <c r="CV43">
        <v>2</v>
      </c>
      <c r="CW43">
        <v>105</v>
      </c>
      <c r="CX43">
        <v>40</v>
      </c>
      <c r="CY43">
        <v>24</v>
      </c>
      <c r="CZ43">
        <v>4</v>
      </c>
      <c r="DA43">
        <v>0</v>
      </c>
      <c r="DB43">
        <v>0</v>
      </c>
      <c r="DC43">
        <v>2</v>
      </c>
      <c r="DD43">
        <v>5</v>
      </c>
      <c r="DE43">
        <v>5</v>
      </c>
      <c r="DF43">
        <v>2</v>
      </c>
      <c r="DG43">
        <v>5</v>
      </c>
      <c r="DH43">
        <v>5</v>
      </c>
      <c r="DI43">
        <v>0</v>
      </c>
      <c r="DJ43">
        <v>0</v>
      </c>
      <c r="DK43">
        <v>4</v>
      </c>
      <c r="DL43">
        <v>16</v>
      </c>
      <c r="DM43">
        <v>9300</v>
      </c>
      <c r="DN43">
        <v>2011</v>
      </c>
      <c r="DO43">
        <v>9300</v>
      </c>
      <c r="DP43">
        <v>2.2999999999999998</v>
      </c>
      <c r="DQ43">
        <v>2.2000000000000002</v>
      </c>
      <c r="DR43">
        <v>4.7</v>
      </c>
      <c r="ES43">
        <v>0</v>
      </c>
      <c r="ET43">
        <v>0</v>
      </c>
      <c r="EU43">
        <v>1</v>
      </c>
      <c r="EV43">
        <v>2</v>
      </c>
      <c r="EW43">
        <v>0</v>
      </c>
      <c r="EX43">
        <v>1</v>
      </c>
      <c r="EY43">
        <v>0</v>
      </c>
      <c r="EZ43">
        <v>2009</v>
      </c>
      <c r="FA43">
        <v>2009</v>
      </c>
      <c r="FB43">
        <v>20</v>
      </c>
      <c r="FC43">
        <v>1128</v>
      </c>
      <c r="FD43" t="s">
        <v>323</v>
      </c>
    </row>
    <row r="44" spans="1:160" x14ac:dyDescent="0.25">
      <c r="A44">
        <v>12218278</v>
      </c>
      <c r="B44" t="s">
        <v>141</v>
      </c>
      <c r="C44" t="s">
        <v>141</v>
      </c>
      <c r="D44" t="s">
        <v>141</v>
      </c>
      <c r="E44" t="s">
        <v>141</v>
      </c>
      <c r="F44" t="s">
        <v>141</v>
      </c>
      <c r="G44" t="s">
        <v>141</v>
      </c>
      <c r="H44" t="s">
        <v>141</v>
      </c>
      <c r="I44" s="99">
        <v>40740</v>
      </c>
      <c r="J44" s="98">
        <v>0.48958333333333331</v>
      </c>
      <c r="L44">
        <v>20</v>
      </c>
      <c r="M44">
        <v>1585</v>
      </c>
      <c r="N44" t="s">
        <v>142</v>
      </c>
      <c r="O44" t="s">
        <v>142</v>
      </c>
      <c r="P44">
        <v>29.530380000000001</v>
      </c>
      <c r="Q44">
        <v>-95.330600000000004</v>
      </c>
      <c r="R44">
        <v>4</v>
      </c>
      <c r="S44">
        <v>1128</v>
      </c>
      <c r="U44">
        <v>1</v>
      </c>
      <c r="X44" t="s">
        <v>323</v>
      </c>
      <c r="Z44" t="s">
        <v>141</v>
      </c>
      <c r="AA44" t="s">
        <v>141</v>
      </c>
      <c r="AB44">
        <v>55</v>
      </c>
      <c r="AC44" t="s">
        <v>141</v>
      </c>
      <c r="AD44" t="s">
        <v>141</v>
      </c>
      <c r="AE44" t="s">
        <v>141</v>
      </c>
      <c r="AF44">
        <v>15</v>
      </c>
      <c r="AG44">
        <v>101</v>
      </c>
      <c r="AL44" t="s">
        <v>323</v>
      </c>
      <c r="AS44">
        <v>12</v>
      </c>
      <c r="AT44">
        <v>1</v>
      </c>
      <c r="AU44">
        <v>0</v>
      </c>
      <c r="AV44">
        <v>1</v>
      </c>
      <c r="AW44">
        <v>1</v>
      </c>
      <c r="AX44">
        <v>2</v>
      </c>
      <c r="AY44">
        <v>5</v>
      </c>
      <c r="AZ44">
        <v>10000</v>
      </c>
      <c r="BA44">
        <v>8</v>
      </c>
      <c r="BB44">
        <v>2</v>
      </c>
      <c r="BC44">
        <v>2</v>
      </c>
      <c r="BD44">
        <v>20</v>
      </c>
      <c r="BE44">
        <v>64</v>
      </c>
      <c r="BF44">
        <v>38</v>
      </c>
      <c r="BG44">
        <v>1</v>
      </c>
      <c r="BH44">
        <v>3</v>
      </c>
      <c r="BI44">
        <v>1</v>
      </c>
      <c r="BJ44">
        <v>21</v>
      </c>
      <c r="BK44">
        <v>21</v>
      </c>
      <c r="BL44">
        <v>20</v>
      </c>
      <c r="BM44">
        <v>1585</v>
      </c>
      <c r="BN44">
        <v>29.530380749999999</v>
      </c>
      <c r="BO44">
        <v>-95.330556139999999</v>
      </c>
      <c r="BP44" t="s">
        <v>340</v>
      </c>
      <c r="BQ44">
        <v>1128</v>
      </c>
      <c r="BS44">
        <v>1.9890000000000001</v>
      </c>
      <c r="BT44" t="s">
        <v>341</v>
      </c>
      <c r="BU44">
        <v>4283</v>
      </c>
      <c r="BV44">
        <v>1684</v>
      </c>
      <c r="BW44">
        <v>1</v>
      </c>
      <c r="BX44">
        <v>2.9529999999999998</v>
      </c>
      <c r="BY44">
        <v>486</v>
      </c>
      <c r="BZ44">
        <v>-1.2999999999999999E-2</v>
      </c>
      <c r="CA44" t="s">
        <v>340</v>
      </c>
      <c r="CB44">
        <v>518</v>
      </c>
      <c r="CD44" t="s">
        <v>365</v>
      </c>
      <c r="CI44" t="s">
        <v>142</v>
      </c>
      <c r="CJ44" t="s">
        <v>142</v>
      </c>
      <c r="CK44" t="s">
        <v>142</v>
      </c>
      <c r="CL44">
        <v>3</v>
      </c>
      <c r="CM44">
        <v>0</v>
      </c>
      <c r="CN44" t="s">
        <v>142</v>
      </c>
      <c r="CO44" t="s">
        <v>144</v>
      </c>
      <c r="CP44">
        <v>2</v>
      </c>
      <c r="CQ44">
        <v>0</v>
      </c>
      <c r="CR44">
        <v>5</v>
      </c>
      <c r="CS44">
        <v>5</v>
      </c>
      <c r="CT44">
        <v>0</v>
      </c>
      <c r="CU44">
        <v>2</v>
      </c>
      <c r="CV44">
        <v>2</v>
      </c>
      <c r="CW44">
        <v>105</v>
      </c>
      <c r="CX44">
        <v>40</v>
      </c>
      <c r="CY44">
        <v>24</v>
      </c>
      <c r="CZ44">
        <v>4</v>
      </c>
      <c r="DA44">
        <v>0</v>
      </c>
      <c r="DB44">
        <v>0</v>
      </c>
      <c r="DC44">
        <v>2</v>
      </c>
      <c r="DD44">
        <v>5</v>
      </c>
      <c r="DE44">
        <v>5</v>
      </c>
      <c r="DF44">
        <v>2</v>
      </c>
      <c r="DG44">
        <v>5</v>
      </c>
      <c r="DH44">
        <v>5</v>
      </c>
      <c r="DI44">
        <v>0</v>
      </c>
      <c r="DJ44">
        <v>0</v>
      </c>
      <c r="DK44">
        <v>4</v>
      </c>
      <c r="DL44">
        <v>16</v>
      </c>
      <c r="DM44">
        <v>9300</v>
      </c>
      <c r="DN44">
        <v>2011</v>
      </c>
      <c r="DO44">
        <v>9300</v>
      </c>
      <c r="DP44">
        <v>2.2999999999999998</v>
      </c>
      <c r="DQ44">
        <v>2.2000000000000002</v>
      </c>
      <c r="DR44">
        <v>4.7</v>
      </c>
      <c r="ES44">
        <v>0</v>
      </c>
      <c r="ET44">
        <v>0</v>
      </c>
      <c r="EU44">
        <v>1</v>
      </c>
      <c r="EV44">
        <v>6</v>
      </c>
      <c r="EW44">
        <v>0</v>
      </c>
      <c r="EX44">
        <v>1</v>
      </c>
      <c r="EY44">
        <v>0</v>
      </c>
      <c r="EZ44">
        <v>2011</v>
      </c>
      <c r="FA44">
        <v>2011</v>
      </c>
      <c r="FB44">
        <v>20</v>
      </c>
      <c r="FC44">
        <v>1128</v>
      </c>
      <c r="FD44" t="s">
        <v>323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zoomScale="85" zoomScaleNormal="85" workbookViewId="0">
      <selection activeCell="S3" sqref="S3:S36"/>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x14ac:dyDescent="0.25">
      <c r="A3" s="22" t="s">
        <v>14</v>
      </c>
      <c r="D3" s="22" t="s">
        <v>28</v>
      </c>
      <c r="E3" s="32"/>
      <c r="M3" s="21" t="s">
        <v>26</v>
      </c>
      <c r="N3" s="77" t="s">
        <v>126</v>
      </c>
      <c r="O3" s="79" t="s">
        <v>27</v>
      </c>
      <c r="P3" s="82" t="s">
        <v>129</v>
      </c>
      <c r="Q3" s="21" t="s">
        <v>317</v>
      </c>
      <c r="R3" s="21" t="s">
        <v>125</v>
      </c>
      <c r="S3" s="21" t="s">
        <v>88</v>
      </c>
    </row>
    <row r="4" spans="1:19" x14ac:dyDescent="0.25">
      <c r="A4" s="23" t="s">
        <v>15</v>
      </c>
      <c r="B4" s="34">
        <v>2015</v>
      </c>
      <c r="D4" s="26" t="s">
        <v>116</v>
      </c>
      <c r="E4" s="64">
        <f>(_2025_Volume/_2018_Volume)^(1/(2025-2018))-1</f>
        <v>-1</v>
      </c>
      <c r="M4" s="86">
        <v>2018</v>
      </c>
      <c r="N4" s="87" t="s">
        <v>131</v>
      </c>
      <c r="O4" s="88">
        <f>MIN(E7,1)</f>
        <v>0.34883720930232559</v>
      </c>
      <c r="P4" s="89">
        <f>-(ROUNDUP(O4,0)-2)</f>
        <v>1</v>
      </c>
      <c r="Q4" s="109">
        <f>SUMPRODUCT(Possible_Crash_Reductions,Value_of_Statistical_Life_2015)</f>
        <v>1882209.2842803423</v>
      </c>
      <c r="R4" s="94">
        <f t="shared" ref="R4:R36" si="0">IF(AND(M4&gt;=Year_Open_to_Traffic?,M4&lt;Year_Open_to_Traffic?+Years_to_include_in_BCA_Analysis),1,0)</f>
        <v>1</v>
      </c>
      <c r="S4" s="85">
        <f>(Q4*R4)/10^3</f>
        <v>1882.2092842803422</v>
      </c>
    </row>
    <row r="5" spans="1:19" x14ac:dyDescent="0.25">
      <c r="A5" s="23" t="s">
        <v>89</v>
      </c>
      <c r="B5" s="23">
        <f>MIN(20,Service_Life)</f>
        <v>20</v>
      </c>
      <c r="D5" s="26" t="s">
        <v>117</v>
      </c>
      <c r="E5" s="64" t="e">
        <f>(_2040_Volume/_2025_Volume)^(1/(2040-2025))-1</f>
        <v>#DIV/0!</v>
      </c>
      <c r="M5" s="20">
        <f t="shared" ref="M5:M36" si="1">M4+1</f>
        <v>2019</v>
      </c>
      <c r="N5" s="78">
        <f t="shared" ref="N5:N11" si="2">IF(ISERROR(_2025_2040_Demand_Growth),_2018_2040_Demand_Growth,_2018_2025_Demand_Growth)</f>
        <v>5.601056899302681E-2</v>
      </c>
      <c r="O5" s="80">
        <f t="shared" ref="O5:O11" si="3">O4*(1+IFERROR(_2018_2025_V_C_Growth,_2018_2040_V_C_Growth))</f>
        <v>0.36837577988128845</v>
      </c>
      <c r="P5" s="83">
        <f t="shared" ref="P5:P36" si="4">-(ROUNDUP(O5,0)-2)</f>
        <v>1</v>
      </c>
      <c r="Q5" s="109">
        <f>Q4*(1+N5*P5)</f>
        <v>1987632.8972568421</v>
      </c>
      <c r="R5" s="94">
        <f t="shared" si="0"/>
        <v>1</v>
      </c>
      <c r="S5" s="85">
        <f t="shared" ref="S5:S36" si="5">(Q5*R5)/10^3</f>
        <v>1987.6328972568422</v>
      </c>
    </row>
    <row r="6" spans="1:19" x14ac:dyDescent="0.25">
      <c r="D6" s="26" t="s">
        <v>121</v>
      </c>
      <c r="E6" s="64">
        <f>(_2040_Volume/_2018_Volume)^(1/(2040-2018))-1</f>
        <v>5.601056899302681E-2</v>
      </c>
      <c r="M6" s="86">
        <f t="shared" si="1"/>
        <v>2020</v>
      </c>
      <c r="N6" s="78">
        <f t="shared" si="2"/>
        <v>5.601056899302681E-2</v>
      </c>
      <c r="O6" s="80">
        <f t="shared" si="3"/>
        <v>0.38900871691568939</v>
      </c>
      <c r="P6" s="83">
        <f t="shared" si="4"/>
        <v>1</v>
      </c>
      <c r="Q6" s="109">
        <f t="shared" ref="Q6:Q29" si="6">Q5*(1+N6*P6)</f>
        <v>2098961.3467814564</v>
      </c>
      <c r="R6" s="94">
        <f t="shared" si="0"/>
        <v>1</v>
      </c>
      <c r="S6" s="85">
        <f t="shared" si="5"/>
        <v>2098.9613467814565</v>
      </c>
    </row>
    <row r="7" spans="1:19" x14ac:dyDescent="0.25">
      <c r="D7" s="26" t="s">
        <v>115</v>
      </c>
      <c r="E7" s="28">
        <f>_2018_Volume/_2018_Capacity</f>
        <v>0.34883720930232559</v>
      </c>
      <c r="M7" s="20">
        <f t="shared" si="1"/>
        <v>2021</v>
      </c>
      <c r="N7" s="78">
        <f t="shared" si="2"/>
        <v>5.601056899302681E-2</v>
      </c>
      <c r="O7" s="80">
        <f t="shared" si="3"/>
        <v>0.41079731649338447</v>
      </c>
      <c r="P7" s="83">
        <f t="shared" si="4"/>
        <v>1</v>
      </c>
      <c r="Q7" s="109">
        <f t="shared" si="6"/>
        <v>2216525.3661090555</v>
      </c>
      <c r="R7" s="94">
        <f t="shared" si="0"/>
        <v>1</v>
      </c>
      <c r="S7" s="85">
        <f t="shared" si="5"/>
        <v>2216.5253661090555</v>
      </c>
    </row>
    <row r="8" spans="1:19" x14ac:dyDescent="0.25">
      <c r="D8" s="26" t="s">
        <v>114</v>
      </c>
      <c r="E8" s="28" t="e">
        <f>_2025_Volume/_2025_Capacity</f>
        <v>#DIV/0!</v>
      </c>
      <c r="M8" s="86">
        <f t="shared" si="1"/>
        <v>2022</v>
      </c>
      <c r="N8" s="78">
        <f t="shared" si="2"/>
        <v>5.601056899302681E-2</v>
      </c>
      <c r="O8" s="80">
        <f t="shared" si="3"/>
        <v>0.43380630793098746</v>
      </c>
      <c r="P8" s="83">
        <f t="shared" si="4"/>
        <v>1</v>
      </c>
      <c r="Q8" s="109">
        <f t="shared" si="6"/>
        <v>2340674.2130523007</v>
      </c>
      <c r="R8" s="94">
        <f t="shared" si="0"/>
        <v>1</v>
      </c>
      <c r="S8" s="85">
        <f t="shared" si="5"/>
        <v>2340.6742130523007</v>
      </c>
    </row>
    <row r="9" spans="1:19" x14ac:dyDescent="0.25">
      <c r="D9" s="26" t="s">
        <v>90</v>
      </c>
      <c r="E9" s="28">
        <f>_2040_Volume/_2040_Capacity</f>
        <v>1.1569767441860466</v>
      </c>
      <c r="M9" s="20">
        <f t="shared" si="1"/>
        <v>2023</v>
      </c>
      <c r="N9" s="78">
        <f t="shared" si="2"/>
        <v>5.601056899302681E-2</v>
      </c>
      <c r="O9" s="80">
        <f t="shared" si="3"/>
        <v>0.45810404607096628</v>
      </c>
      <c r="P9" s="83">
        <f t="shared" si="4"/>
        <v>1</v>
      </c>
      <c r="Q9" s="109">
        <f t="shared" si="6"/>
        <v>2471776.7075526654</v>
      </c>
      <c r="R9" s="94">
        <f t="shared" si="0"/>
        <v>1</v>
      </c>
      <c r="S9" s="85">
        <f t="shared" si="5"/>
        <v>2471.7767075526654</v>
      </c>
    </row>
    <row r="10" spans="1:19" x14ac:dyDescent="0.25">
      <c r="D10" s="26" t="s">
        <v>122</v>
      </c>
      <c r="E10" s="64" t="e">
        <f>(E8/E7)^(1/(2025-2018))-1</f>
        <v>#DIV/0!</v>
      </c>
      <c r="M10" s="86">
        <f t="shared" si="1"/>
        <v>2024</v>
      </c>
      <c r="N10" s="78">
        <f t="shared" si="2"/>
        <v>5.601056899302681E-2</v>
      </c>
      <c r="O10" s="80">
        <f t="shared" si="3"/>
        <v>0.48376271434940887</v>
      </c>
      <c r="P10" s="83">
        <f t="shared" si="4"/>
        <v>1</v>
      </c>
      <c r="Q10" s="109">
        <f t="shared" si="6"/>
        <v>2610222.3273664005</v>
      </c>
      <c r="R10" s="94">
        <f t="shared" si="0"/>
        <v>1</v>
      </c>
      <c r="S10" s="85">
        <f t="shared" si="5"/>
        <v>2610.2223273664004</v>
      </c>
    </row>
    <row r="11" spans="1:19" x14ac:dyDescent="0.25">
      <c r="D11" s="26" t="s">
        <v>123</v>
      </c>
      <c r="E11" s="64" t="e">
        <f>(E9/E8)^(1/(2040-2025))-1</f>
        <v>#DIV/0!</v>
      </c>
      <c r="M11" s="20">
        <f t="shared" si="1"/>
        <v>2025</v>
      </c>
      <c r="N11" s="78">
        <f t="shared" si="2"/>
        <v>5.601056899302681E-2</v>
      </c>
      <c r="O11" s="80">
        <f t="shared" si="3"/>
        <v>0.51085853923773039</v>
      </c>
      <c r="P11" s="83">
        <f t="shared" si="4"/>
        <v>1</v>
      </c>
      <c r="Q11" s="109">
        <f t="shared" si="6"/>
        <v>2756422.3651204952</v>
      </c>
      <c r="R11" s="94">
        <f t="shared" si="0"/>
        <v>1</v>
      </c>
      <c r="S11" s="85">
        <f t="shared" si="5"/>
        <v>2756.4223651204952</v>
      </c>
    </row>
    <row r="12" spans="1:19" x14ac:dyDescent="0.25">
      <c r="D12" s="26" t="s">
        <v>124</v>
      </c>
      <c r="E12" s="64">
        <f>(E9/E7)^(1/(2040-2018))-1</f>
        <v>5.601056899302681E-2</v>
      </c>
      <c r="M12" s="86">
        <f t="shared" si="1"/>
        <v>2026</v>
      </c>
      <c r="N12" s="78">
        <f t="shared" ref="N12:N36" si="7">IFERROR(_2025_2040_Demand_Growth,_2018_2040_Demand_Growth)</f>
        <v>5.601056899302681E-2</v>
      </c>
      <c r="O12" s="80">
        <f t="shared" ref="O12:O36" si="8">O11*(1+IFERROR(_2025_2040_V_C_Growth,_2018_2040_V_C_Growth))</f>
        <v>0.53947201669538214</v>
      </c>
      <c r="P12" s="83">
        <f t="shared" si="4"/>
        <v>1</v>
      </c>
      <c r="Q12" s="109">
        <f t="shared" si="6"/>
        <v>2910811.1501759989</v>
      </c>
      <c r="R12" s="94">
        <f t="shared" si="0"/>
        <v>1</v>
      </c>
      <c r="S12" s="85">
        <f t="shared" si="5"/>
        <v>2910.811150175999</v>
      </c>
    </row>
    <row r="13" spans="1:19" x14ac:dyDescent="0.25">
      <c r="M13" s="20">
        <f t="shared" si="1"/>
        <v>2027</v>
      </c>
      <c r="N13" s="78">
        <f t="shared" si="7"/>
        <v>5.601056899302681E-2</v>
      </c>
      <c r="O13" s="80">
        <f t="shared" si="8"/>
        <v>0.56968815130630612</v>
      </c>
      <c r="P13" s="83">
        <f t="shared" si="4"/>
        <v>1</v>
      </c>
      <c r="Q13" s="109">
        <f t="shared" si="6"/>
        <v>3073847.3389286036</v>
      </c>
      <c r="R13" s="94">
        <f t="shared" si="0"/>
        <v>1</v>
      </c>
      <c r="S13" s="85">
        <f t="shared" si="5"/>
        <v>3073.8473389286037</v>
      </c>
    </row>
    <row r="14" spans="1:19" x14ac:dyDescent="0.25">
      <c r="M14" s="86">
        <f>M13+1</f>
        <v>2028</v>
      </c>
      <c r="N14" s="78">
        <f t="shared" si="7"/>
        <v>5.601056899302681E-2</v>
      </c>
      <c r="O14" s="80">
        <f>O13*(1+IFERROR(_2025_2040_V_C_Growth,_2018_2040_V_C_Growth))</f>
        <v>0.60159670880955785</v>
      </c>
      <c r="P14" s="83">
        <f t="shared" si="4"/>
        <v>1</v>
      </c>
      <c r="Q14" s="109">
        <f>Q13*(1+N14*P14)</f>
        <v>3246015.2773796958</v>
      </c>
      <c r="R14" s="94">
        <f t="shared" si="0"/>
        <v>1</v>
      </c>
      <c r="S14" s="85">
        <f t="shared" si="5"/>
        <v>3246.0152773796958</v>
      </c>
    </row>
    <row r="15" spans="1:19" x14ac:dyDescent="0.25">
      <c r="A15" s="119" t="s">
        <v>315</v>
      </c>
      <c r="B15" s="119"/>
      <c r="D15" s="72" t="s">
        <v>145</v>
      </c>
      <c r="E15" s="72" t="s">
        <v>151</v>
      </c>
      <c r="F15" s="72" t="s">
        <v>150</v>
      </c>
      <c r="G15" s="72" t="s">
        <v>149</v>
      </c>
      <c r="H15" s="72" t="s">
        <v>148</v>
      </c>
      <c r="I15" s="72" t="s">
        <v>147</v>
      </c>
      <c r="J15" s="120" t="s">
        <v>316</v>
      </c>
      <c r="M15" s="20">
        <f>M14+1</f>
        <v>2029</v>
      </c>
      <c r="N15" s="78">
        <f t="shared" si="7"/>
        <v>5.601056899302681E-2</v>
      </c>
      <c r="O15" s="80">
        <f>O14*(1+IFERROR(_2025_2040_V_C_Growth,_2018_2040_V_C_Growth))</f>
        <v>0.63529248277431349</v>
      </c>
      <c r="P15" s="83">
        <f t="shared" si="4"/>
        <v>1</v>
      </c>
      <c r="Q15" s="109">
        <f>Q14*(1+N15*P15)</f>
        <v>3427826.4400257901</v>
      </c>
      <c r="R15" s="94">
        <f t="shared" si="0"/>
        <v>1</v>
      </c>
      <c r="S15" s="85">
        <f t="shared" si="5"/>
        <v>3427.8264400257899</v>
      </c>
    </row>
    <row r="16" spans="1:19" x14ac:dyDescent="0.25">
      <c r="A16" s="119"/>
      <c r="B16" s="119"/>
      <c r="D16" s="106">
        <f>Avg_Death_Cnt</f>
        <v>0.33333333333333331</v>
      </c>
      <c r="E16" s="106">
        <f>Avg_Incap_Injry_Cnt</f>
        <v>1</v>
      </c>
      <c r="F16" s="106">
        <f>Avg_Nonincap_Injry_Cnt</f>
        <v>2.6666666666666665</v>
      </c>
      <c r="G16" s="106">
        <f>Avg_Poss_Injry_Cnt</f>
        <v>2</v>
      </c>
      <c r="H16" s="106">
        <f>Avg_Non_Injry_Cnt</f>
        <v>21</v>
      </c>
      <c r="I16" s="106">
        <f>Avg_Unkn_Injry_Cnt</f>
        <v>0</v>
      </c>
      <c r="J16" s="120"/>
      <c r="M16" s="86">
        <f t="shared" si="1"/>
        <v>2030</v>
      </c>
      <c r="N16" s="78">
        <f t="shared" si="7"/>
        <v>5.601056899302681E-2</v>
      </c>
      <c r="O16" s="80">
        <f t="shared" si="8"/>
        <v>0.67087557621149552</v>
      </c>
      <c r="P16" s="83">
        <f t="shared" si="4"/>
        <v>1</v>
      </c>
      <c r="Q16" s="109">
        <f t="shared" si="6"/>
        <v>3619820.9493409763</v>
      </c>
      <c r="R16" s="94">
        <f t="shared" si="0"/>
        <v>1</v>
      </c>
      <c r="S16" s="85">
        <f t="shared" si="5"/>
        <v>3619.8209493409763</v>
      </c>
    </row>
    <row r="17" spans="1:19" x14ac:dyDescent="0.25">
      <c r="A17" s="72" t="s">
        <v>311</v>
      </c>
      <c r="B17" s="103" t="s">
        <v>312</v>
      </c>
      <c r="D17" s="107">
        <f>D$16*'Value of Statistical Life'!D17*Appropriate_Crash_Reduction_Factor</f>
        <v>0</v>
      </c>
      <c r="E17" s="107">
        <f>E$16*'Value of Statistical Life'!E17*Appropriate_Crash_Reduction_Factor</f>
        <v>1.5466499999999999E-2</v>
      </c>
      <c r="F17" s="107">
        <f>F$16*'Value of Statistical Life'!F17*Appropriate_Crash_Reduction_Factor</f>
        <v>0.100164</v>
      </c>
      <c r="G17" s="107">
        <f>G$16*'Value of Statistical Life'!G17*Appropriate_Crash_Reduction_Factor</f>
        <v>0.21093300000000001</v>
      </c>
      <c r="H17" s="107">
        <f>H$16*'Value of Statistical Life'!H17*Appropriate_Crash_Reduction_Factor</f>
        <v>8.7444629999999997</v>
      </c>
      <c r="I17" s="107">
        <f>I$16*'Value of Statistical Life'!I17*Appropriate_Crash_Reduction_Factor</f>
        <v>0</v>
      </c>
      <c r="J17" s="107">
        <f>SUM(D17:I17)</f>
        <v>9.0710265000000003</v>
      </c>
      <c r="M17" s="20">
        <f t="shared" si="1"/>
        <v>2031</v>
      </c>
      <c r="N17" s="78">
        <f t="shared" si="7"/>
        <v>5.601056899302681E-2</v>
      </c>
      <c r="O17" s="80">
        <f t="shared" si="8"/>
        <v>0.70845169895862614</v>
      </c>
      <c r="P17" s="83">
        <f t="shared" si="4"/>
        <v>1</v>
      </c>
      <c r="Q17" s="109">
        <f t="shared" si="6"/>
        <v>3822569.180366443</v>
      </c>
      <c r="R17" s="94">
        <f t="shared" si="0"/>
        <v>1</v>
      </c>
      <c r="S17" s="85">
        <f t="shared" si="5"/>
        <v>3822.5691803664431</v>
      </c>
    </row>
    <row r="18" spans="1:19" x14ac:dyDescent="0.25">
      <c r="A18" s="72" t="s">
        <v>98</v>
      </c>
      <c r="B18" s="73" t="s">
        <v>99</v>
      </c>
      <c r="D18" s="107">
        <f>D$16*'Value of Statistical Life'!D18*Appropriate_Crash_Reduction_Factor</f>
        <v>0</v>
      </c>
      <c r="E18" s="107">
        <f>E$16*'Value of Statistical Life'!E18*Appropriate_Crash_Reduction_Factor</f>
        <v>0.24952050000000003</v>
      </c>
      <c r="F18" s="107">
        <f>F$16*'Value of Statistical Life'!F18*Appropriate_Crash_Reduction_Factor</f>
        <v>0.92211599999999982</v>
      </c>
      <c r="G18" s="107">
        <f>G$16*'Value of Statistical Life'!G18*Appropriate_Crash_Reduction_Factor</f>
        <v>0.62051400000000001</v>
      </c>
      <c r="H18" s="107">
        <f>H$16*'Value of Statistical Life'!H18*Appropriate_Crash_Reduction_Factor</f>
        <v>0.68578649999999997</v>
      </c>
      <c r="I18" s="107">
        <f>I$16*'Value of Statistical Life'!I18*Appropriate_Crash_Reduction_Factor</f>
        <v>0</v>
      </c>
      <c r="J18" s="107">
        <f t="shared" ref="J18:J23" si="9">SUM(D18:I18)</f>
        <v>2.4779369999999998</v>
      </c>
      <c r="M18" s="86">
        <f t="shared" si="1"/>
        <v>2032</v>
      </c>
      <c r="N18" s="78">
        <f t="shared" si="7"/>
        <v>5.601056899302681E-2</v>
      </c>
      <c r="O18" s="80">
        <f t="shared" si="8"/>
        <v>0.74813248172137536</v>
      </c>
      <c r="P18" s="83">
        <f t="shared" si="4"/>
        <v>1</v>
      </c>
      <c r="Q18" s="109">
        <f t="shared" si="6"/>
        <v>4036673.4551739758</v>
      </c>
      <c r="R18" s="94">
        <f t="shared" si="0"/>
        <v>1</v>
      </c>
      <c r="S18" s="85">
        <f t="shared" si="5"/>
        <v>4036.673455173976</v>
      </c>
    </row>
    <row r="19" spans="1:19" x14ac:dyDescent="0.25">
      <c r="A19" s="72" t="s">
        <v>100</v>
      </c>
      <c r="B19" s="73" t="s">
        <v>101</v>
      </c>
      <c r="D19" s="107">
        <f>D$16*'Value of Statistical Life'!D19*Appropriate_Crash_Reduction_Factor</f>
        <v>0</v>
      </c>
      <c r="E19" s="107">
        <f>E$16*'Value of Statistical Life'!E19*Appropriate_Crash_Reduction_Factor</f>
        <v>9.4086000000000003E-2</v>
      </c>
      <c r="F19" s="107">
        <f>F$16*'Value of Statistical Life'!F19*Appropriate_Crash_Reduction_Factor</f>
        <v>0.13077599999999998</v>
      </c>
      <c r="G19" s="107">
        <f>G$16*'Value of Statistical Life'!G19*Appropriate_Crash_Reduction_Factor</f>
        <v>5.7518999999999994E-2</v>
      </c>
      <c r="H19" s="107">
        <f>H$16*'Value of Statistical Life'!H19*Appropriate_Crash_Reduction_Factor</f>
        <v>1.8710999999999998E-2</v>
      </c>
      <c r="I19" s="107">
        <f>I$16*'Value of Statistical Life'!I19*Appropriate_Crash_Reduction_Factor</f>
        <v>0</v>
      </c>
      <c r="J19" s="107">
        <f t="shared" si="9"/>
        <v>0.30109199999999997</v>
      </c>
      <c r="M19" s="20">
        <f t="shared" si="1"/>
        <v>2033</v>
      </c>
      <c r="N19" s="78">
        <f t="shared" si="7"/>
        <v>5.601056899302681E-2</v>
      </c>
      <c r="O19" s="80">
        <f t="shared" si="8"/>
        <v>0.79003580770475479</v>
      </c>
      <c r="P19" s="83">
        <f t="shared" si="4"/>
        <v>1</v>
      </c>
      <c r="Q19" s="109">
        <f t="shared" si="6"/>
        <v>4262769.8322373172</v>
      </c>
      <c r="R19" s="94">
        <f t="shared" si="0"/>
        <v>1</v>
      </c>
      <c r="S19" s="85">
        <f t="shared" si="5"/>
        <v>4262.7698322373171</v>
      </c>
    </row>
    <row r="20" spans="1:19" x14ac:dyDescent="0.25">
      <c r="A20" s="72" t="s">
        <v>102</v>
      </c>
      <c r="B20" s="73" t="s">
        <v>103</v>
      </c>
      <c r="D20" s="107">
        <f>D$16*'Value of Statistical Life'!D20*Appropriate_Crash_Reduction_Factor</f>
        <v>0</v>
      </c>
      <c r="E20" s="107">
        <f>E$16*'Value of Statistical Life'!E20*Appropriate_Crash_Reduction_Factor</f>
        <v>6.4966499999999996E-2</v>
      </c>
      <c r="F20" s="107">
        <f>F$16*'Value of Statistical Life'!F20*Appropriate_Crash_Reduction_Factor</f>
        <v>3.8292E-2</v>
      </c>
      <c r="G20" s="107">
        <f>G$16*'Value of Statistical Life'!G20*Appropriate_Crash_Reduction_Factor</f>
        <v>9.6390000000000017E-3</v>
      </c>
      <c r="H20" s="107">
        <f>H$16*'Value of Statistical Life'!H20*Appropriate_Crash_Reduction_Factor</f>
        <v>7.5600000000000005E-4</v>
      </c>
      <c r="I20" s="107">
        <f>I$16*'Value of Statistical Life'!I20*Appropriate_Crash_Reduction_Factor</f>
        <v>0</v>
      </c>
      <c r="J20" s="107">
        <f t="shared" si="9"/>
        <v>0.11365350000000002</v>
      </c>
      <c r="M20" s="86">
        <f t="shared" si="1"/>
        <v>2034</v>
      </c>
      <c r="N20" s="78">
        <f t="shared" si="7"/>
        <v>5.601056899302681E-2</v>
      </c>
      <c r="O20" s="80">
        <f t="shared" si="8"/>
        <v>0.83428616281916357</v>
      </c>
      <c r="P20" s="83">
        <f t="shared" si="4"/>
        <v>1</v>
      </c>
      <c r="Q20" s="109">
        <f t="shared" si="6"/>
        <v>4501529.9960272387</v>
      </c>
      <c r="R20" s="94">
        <f t="shared" si="0"/>
        <v>1</v>
      </c>
      <c r="S20" s="85">
        <f t="shared" si="5"/>
        <v>4501.5299960272387</v>
      </c>
    </row>
    <row r="21" spans="1:19" x14ac:dyDescent="0.25">
      <c r="A21" s="72" t="s">
        <v>104</v>
      </c>
      <c r="B21" s="73" t="s">
        <v>105</v>
      </c>
      <c r="D21" s="107">
        <f>D$16*'Value of Statistical Life'!D21*Appropriate_Crash_Reduction_Factor</f>
        <v>0</v>
      </c>
      <c r="E21" s="107">
        <f>E$16*'Value of Statistical Life'!E21*Appropriate_Crash_Reduction_Factor</f>
        <v>1.7937000000000002E-2</v>
      </c>
      <c r="F21" s="107">
        <f>F$16*'Value of Statistical Life'!F21*Appropriate_Crash_Reduction_Factor</f>
        <v>7.4399999999999987E-3</v>
      </c>
      <c r="G21" s="107">
        <f>G$16*'Value of Statistical Life'!G21*Appropriate_Crash_Reduction_Factor</f>
        <v>1.2780000000000001E-3</v>
      </c>
      <c r="H21" s="107">
        <f>H$16*'Value of Statistical Life'!H21*Appropriate_Crash_Reduction_Factor</f>
        <v>0</v>
      </c>
      <c r="I21" s="107">
        <f>I$16*'Value of Statistical Life'!I21*Appropriate_Crash_Reduction_Factor</f>
        <v>0</v>
      </c>
      <c r="J21" s="107">
        <f t="shared" si="9"/>
        <v>2.6655000000000002E-2</v>
      </c>
      <c r="M21" s="20">
        <f>M20+1</f>
        <v>2035</v>
      </c>
      <c r="N21" s="78">
        <f t="shared" si="7"/>
        <v>5.601056899302681E-2</v>
      </c>
      <c r="O21" s="80">
        <f>O20*(1+IFERROR(_2025_2040_V_C_Growth,_2018_2040_V_C_Growth))</f>
        <v>0.88101500550167389</v>
      </c>
      <c r="P21" s="83">
        <f t="shared" si="4"/>
        <v>1</v>
      </c>
      <c r="Q21" s="109">
        <f>Q20*(1+N21*P21)</f>
        <v>4753663.2524439022</v>
      </c>
      <c r="R21" s="94">
        <f t="shared" si="0"/>
        <v>1</v>
      </c>
      <c r="S21" s="85">
        <f t="shared" si="5"/>
        <v>4753.6632524439019</v>
      </c>
    </row>
    <row r="22" spans="1:19" x14ac:dyDescent="0.25">
      <c r="A22" s="72" t="s">
        <v>106</v>
      </c>
      <c r="B22" s="73" t="s">
        <v>107</v>
      </c>
      <c r="D22" s="107">
        <f>D$16*'Value of Statistical Life'!D22*Appropriate_Crash_Reduction_Factor</f>
        <v>0</v>
      </c>
      <c r="E22" s="107">
        <f>E$16*'Value of Statistical Life'!E22*Appropriate_Crash_Reduction_Factor</f>
        <v>8.0234999999999994E-3</v>
      </c>
      <c r="F22" s="107">
        <f>F$16*'Value of Statistical Life'!F22*Appropriate_Crash_Reduction_Factor</f>
        <v>1.212E-3</v>
      </c>
      <c r="G22" s="107">
        <f>G$16*'Value of Statistical Life'!G22*Appropriate_Crash_Reduction_Factor</f>
        <v>1.17E-4</v>
      </c>
      <c r="H22" s="107">
        <f>H$16*'Value of Statistical Life'!H22*Appropriate_Crash_Reduction_Factor</f>
        <v>2.8350000000000001E-4</v>
      </c>
      <c r="I22" s="107">
        <f>I$16*'Value of Statistical Life'!I22*Appropriate_Crash_Reduction_Factor</f>
        <v>0</v>
      </c>
      <c r="J22" s="107">
        <f t="shared" si="9"/>
        <v>9.6360000000000005E-3</v>
      </c>
      <c r="M22" s="86">
        <f>M21+1</f>
        <v>2036</v>
      </c>
      <c r="N22" s="78">
        <f t="shared" si="7"/>
        <v>5.601056899302681E-2</v>
      </c>
      <c r="O22" s="80">
        <f t="shared" si="8"/>
        <v>0.93036115725121726</v>
      </c>
      <c r="P22" s="83">
        <f t="shared" si="4"/>
        <v>1</v>
      </c>
      <c r="Q22" s="109">
        <f t="shared" si="6"/>
        <v>5019918.6360145276</v>
      </c>
      <c r="R22" s="94">
        <f t="shared" si="0"/>
        <v>1</v>
      </c>
      <c r="S22" s="85">
        <f t="shared" si="5"/>
        <v>5019.9186360145277</v>
      </c>
    </row>
    <row r="23" spans="1:19" x14ac:dyDescent="0.25">
      <c r="A23" s="72" t="s">
        <v>108</v>
      </c>
      <c r="B23" s="73" t="s">
        <v>109</v>
      </c>
      <c r="D23" s="107">
        <f>D$16*'Value of Statistical Life'!D23*Appropriate_Crash_Reduction_Factor</f>
        <v>0.15</v>
      </c>
      <c r="E23" s="107">
        <f>E$16*'Value of Statistical Life'!E23*Appropriate_Crash_Reduction_Factor</f>
        <v>0</v>
      </c>
      <c r="F23" s="107">
        <f>F$16*'Value of Statistical Life'!F23*Appropriate_Crash_Reduction_Factor</f>
        <v>0</v>
      </c>
      <c r="G23" s="107">
        <f>G$16*'Value of Statistical Life'!G23*Appropriate_Crash_Reduction_Factor</f>
        <v>0</v>
      </c>
      <c r="H23" s="107">
        <f>H$16*'Value of Statistical Life'!H23*Appropriate_Crash_Reduction_Factor</f>
        <v>0</v>
      </c>
      <c r="I23" s="107">
        <f>I$16*'Value of Statistical Life'!I23*Appropriate_Crash_Reduction_Factor</f>
        <v>0</v>
      </c>
      <c r="J23" s="107">
        <f t="shared" si="9"/>
        <v>0.15</v>
      </c>
      <c r="M23" s="20">
        <f t="shared" si="1"/>
        <v>2037</v>
      </c>
      <c r="N23" s="78">
        <f t="shared" si="7"/>
        <v>5.601056899302681E-2</v>
      </c>
      <c r="O23" s="80">
        <f t="shared" si="8"/>
        <v>0.98247121503786883</v>
      </c>
      <c r="P23" s="83">
        <f t="shared" si="4"/>
        <v>1</v>
      </c>
      <c r="Q23" s="109">
        <f t="shared" si="6"/>
        <v>5301087.1351164002</v>
      </c>
      <c r="R23" s="94">
        <f t="shared" si="0"/>
        <v>1</v>
      </c>
      <c r="S23" s="85">
        <f t="shared" si="5"/>
        <v>5301.0871351164005</v>
      </c>
    </row>
    <row r="24" spans="1:19" x14ac:dyDescent="0.25">
      <c r="M24" s="86">
        <f t="shared" si="1"/>
        <v>2038</v>
      </c>
      <c r="N24" s="78">
        <f t="shared" si="7"/>
        <v>5.601056899302681E-2</v>
      </c>
      <c r="O24" s="80">
        <f t="shared" si="8"/>
        <v>1.0374999868114103</v>
      </c>
      <c r="P24" s="83">
        <f t="shared" si="4"/>
        <v>0</v>
      </c>
      <c r="Q24" s="109">
        <f t="shared" si="6"/>
        <v>5301087.1351164002</v>
      </c>
      <c r="R24" s="94">
        <f t="shared" si="0"/>
        <v>0</v>
      </c>
      <c r="S24" s="85">
        <f t="shared" si="5"/>
        <v>0</v>
      </c>
    </row>
    <row r="25" spans="1:19" x14ac:dyDescent="0.25">
      <c r="M25" s="20">
        <f t="shared" si="1"/>
        <v>2039</v>
      </c>
      <c r="N25" s="78">
        <f t="shared" si="7"/>
        <v>5.601056899302681E-2</v>
      </c>
      <c r="O25" s="80">
        <f t="shared" si="8"/>
        <v>1.0956109514029753</v>
      </c>
      <c r="P25" s="83">
        <f t="shared" si="4"/>
        <v>0</v>
      </c>
      <c r="Q25" s="109">
        <f t="shared" si="6"/>
        <v>5301087.1351164002</v>
      </c>
      <c r="R25" s="94">
        <f t="shared" si="0"/>
        <v>0</v>
      </c>
      <c r="S25" s="85">
        <f t="shared" si="5"/>
        <v>0</v>
      </c>
    </row>
    <row r="26" spans="1:19" x14ac:dyDescent="0.25">
      <c r="M26" s="86">
        <f t="shared" si="1"/>
        <v>2040</v>
      </c>
      <c r="N26" s="78">
        <f t="shared" si="7"/>
        <v>5.601056899302681E-2</v>
      </c>
      <c r="O26" s="80">
        <f t="shared" si="8"/>
        <v>1.1569767441860475</v>
      </c>
      <c r="P26" s="83">
        <f t="shared" si="4"/>
        <v>0</v>
      </c>
      <c r="Q26" s="109">
        <f t="shared" si="6"/>
        <v>5301087.1351164002</v>
      </c>
      <c r="R26" s="94">
        <f t="shared" si="0"/>
        <v>0</v>
      </c>
      <c r="S26" s="85">
        <f t="shared" si="5"/>
        <v>0</v>
      </c>
    </row>
    <row r="27" spans="1:19" x14ac:dyDescent="0.25">
      <c r="M27" s="20">
        <f t="shared" si="1"/>
        <v>2041</v>
      </c>
      <c r="N27" s="78">
        <f t="shared" si="7"/>
        <v>5.601056899302681E-2</v>
      </c>
      <c r="O27" s="80">
        <f t="shared" si="8"/>
        <v>1.2217796699396075</v>
      </c>
      <c r="P27" s="83">
        <f t="shared" si="4"/>
        <v>0</v>
      </c>
      <c r="Q27" s="109">
        <f t="shared" si="6"/>
        <v>5301087.1351164002</v>
      </c>
      <c r="R27" s="94">
        <f t="shared" si="0"/>
        <v>0</v>
      </c>
      <c r="S27" s="85">
        <f t="shared" si="5"/>
        <v>0</v>
      </c>
    </row>
    <row r="28" spans="1:19" x14ac:dyDescent="0.25">
      <c r="M28" s="86">
        <f t="shared" si="1"/>
        <v>2042</v>
      </c>
      <c r="N28" s="78">
        <f t="shared" si="7"/>
        <v>5.601056899302681E-2</v>
      </c>
      <c r="O28" s="80">
        <f t="shared" si="8"/>
        <v>1.2902122444370374</v>
      </c>
      <c r="P28" s="83">
        <f t="shared" si="4"/>
        <v>0</v>
      </c>
      <c r="Q28" s="109">
        <f t="shared" si="6"/>
        <v>5301087.1351164002</v>
      </c>
      <c r="R28" s="94">
        <f t="shared" si="0"/>
        <v>0</v>
      </c>
      <c r="S28" s="85">
        <f t="shared" si="5"/>
        <v>0</v>
      </c>
    </row>
    <row r="29" spans="1:19" x14ac:dyDescent="0.25">
      <c r="M29" s="20">
        <f t="shared" si="1"/>
        <v>2043</v>
      </c>
      <c r="N29" s="78">
        <f t="shared" si="7"/>
        <v>5.601056899302681E-2</v>
      </c>
      <c r="O29" s="80">
        <f t="shared" si="8"/>
        <v>1.3624777663697261</v>
      </c>
      <c r="P29" s="83">
        <f t="shared" si="4"/>
        <v>0</v>
      </c>
      <c r="Q29" s="109">
        <f t="shared" si="6"/>
        <v>5301087.1351164002</v>
      </c>
      <c r="R29" s="94">
        <f t="shared" si="0"/>
        <v>0</v>
      </c>
      <c r="S29" s="85">
        <f t="shared" si="5"/>
        <v>0</v>
      </c>
    </row>
    <row r="30" spans="1:19" x14ac:dyDescent="0.25">
      <c r="M30" s="20">
        <f t="shared" si="1"/>
        <v>2044</v>
      </c>
      <c r="N30" s="78">
        <f t="shared" si="7"/>
        <v>5.601056899302681E-2</v>
      </c>
      <c r="O30" s="80">
        <f t="shared" si="8"/>
        <v>1.4387909213044427</v>
      </c>
      <c r="P30" s="83">
        <f t="shared" si="4"/>
        <v>0</v>
      </c>
      <c r="Q30" s="109">
        <f t="shared" ref="Q30:Q31" si="10">Q29*(1+N30*P30)</f>
        <v>5301087.1351164002</v>
      </c>
      <c r="R30" s="94">
        <f t="shared" si="0"/>
        <v>0</v>
      </c>
      <c r="S30" s="85">
        <f t="shared" si="5"/>
        <v>0</v>
      </c>
    </row>
    <row r="31" spans="1:19" x14ac:dyDescent="0.25">
      <c r="M31" s="20">
        <f t="shared" si="1"/>
        <v>2045</v>
      </c>
      <c r="N31" s="78">
        <f t="shared" si="7"/>
        <v>5.601056899302681E-2</v>
      </c>
      <c r="O31" s="80">
        <f t="shared" si="8"/>
        <v>1.5193784194687059</v>
      </c>
      <c r="P31" s="83">
        <f t="shared" si="4"/>
        <v>0</v>
      </c>
      <c r="Q31" s="109">
        <f t="shared" si="10"/>
        <v>5301087.1351164002</v>
      </c>
      <c r="R31" s="94">
        <f t="shared" si="0"/>
        <v>0</v>
      </c>
      <c r="S31" s="85">
        <f t="shared" si="5"/>
        <v>0</v>
      </c>
    </row>
    <row r="32" spans="1:19" x14ac:dyDescent="0.25">
      <c r="A32" s="11"/>
      <c r="M32" s="20">
        <f t="shared" si="1"/>
        <v>2046</v>
      </c>
      <c r="N32" s="78">
        <f t="shared" si="7"/>
        <v>5.601056899302681E-2</v>
      </c>
      <c r="O32" s="80">
        <f t="shared" si="8"/>
        <v>1.6044796692588739</v>
      </c>
      <c r="P32" s="83">
        <f t="shared" si="4"/>
        <v>0</v>
      </c>
      <c r="Q32" s="109">
        <f t="shared" ref="Q32:Q36" si="11">Q31*(1+N32*P32)</f>
        <v>5301087.1351164002</v>
      </c>
      <c r="R32" s="94">
        <f t="shared" si="0"/>
        <v>0</v>
      </c>
      <c r="S32" s="85">
        <f t="shared" si="5"/>
        <v>0</v>
      </c>
    </row>
    <row r="33" spans="1:19" x14ac:dyDescent="0.25">
      <c r="A33" s="11"/>
      <c r="M33" s="20">
        <f t="shared" si="1"/>
        <v>2047</v>
      </c>
      <c r="N33" s="78">
        <f t="shared" si="7"/>
        <v>5.601056899302681E-2</v>
      </c>
      <c r="O33" s="80">
        <f t="shared" si="8"/>
        <v>1.6943474884718068</v>
      </c>
      <c r="P33" s="83">
        <f t="shared" si="4"/>
        <v>0</v>
      </c>
      <c r="Q33" s="109">
        <f t="shared" si="11"/>
        <v>5301087.1351164002</v>
      </c>
      <c r="R33" s="94">
        <f t="shared" si="0"/>
        <v>0</v>
      </c>
      <c r="S33" s="85">
        <f t="shared" si="5"/>
        <v>0</v>
      </c>
    </row>
    <row r="34" spans="1:19" x14ac:dyDescent="0.25">
      <c r="M34" s="20">
        <f t="shared" si="1"/>
        <v>2048</v>
      </c>
      <c r="N34" s="78">
        <f t="shared" si="7"/>
        <v>5.601056899302681E-2</v>
      </c>
      <c r="O34" s="80">
        <f t="shared" si="8"/>
        <v>1.7892488553730186</v>
      </c>
      <c r="P34" s="83">
        <f t="shared" si="4"/>
        <v>0</v>
      </c>
      <c r="Q34" s="109">
        <f t="shared" si="11"/>
        <v>5301087.1351164002</v>
      </c>
      <c r="R34" s="94">
        <f t="shared" si="0"/>
        <v>0</v>
      </c>
      <c r="S34" s="85">
        <f t="shared" si="5"/>
        <v>0</v>
      </c>
    </row>
    <row r="35" spans="1:19" x14ac:dyDescent="0.25">
      <c r="M35" s="20">
        <f t="shared" si="1"/>
        <v>2049</v>
      </c>
      <c r="N35" s="78">
        <f t="shared" si="7"/>
        <v>5.601056899302681E-2</v>
      </c>
      <c r="O35" s="80">
        <f t="shared" si="8"/>
        <v>1.8894657018325833</v>
      </c>
      <c r="P35" s="83">
        <f t="shared" si="4"/>
        <v>0</v>
      </c>
      <c r="Q35" s="109">
        <f t="shared" si="11"/>
        <v>5301087.1351164002</v>
      </c>
      <c r="R35" s="94">
        <f t="shared" si="0"/>
        <v>0</v>
      </c>
      <c r="S35" s="85">
        <f t="shared" si="5"/>
        <v>0</v>
      </c>
    </row>
    <row r="36" spans="1:19" x14ac:dyDescent="0.25">
      <c r="M36" s="20">
        <f t="shared" si="1"/>
        <v>2050</v>
      </c>
      <c r="N36" s="78">
        <f t="shared" si="7"/>
        <v>5.601056899302681E-2</v>
      </c>
      <c r="O36" s="80">
        <f t="shared" si="8"/>
        <v>1.9952957508850351</v>
      </c>
      <c r="P36" s="83">
        <f t="shared" si="4"/>
        <v>0</v>
      </c>
      <c r="Q36" s="109">
        <f t="shared" si="11"/>
        <v>5301087.1351164002</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132</v>
      </c>
    </row>
    <row r="4" spans="2:3" x14ac:dyDescent="0.25">
      <c r="B4" s="4" t="s">
        <v>34</v>
      </c>
    </row>
    <row r="5" spans="2:3" x14ac:dyDescent="0.25">
      <c r="B5" s="45" t="s">
        <v>37</v>
      </c>
      <c r="C5" s="51">
        <v>2015</v>
      </c>
    </row>
    <row r="6" spans="2:3" x14ac:dyDescent="0.25">
      <c r="B6" s="45" t="s">
        <v>38</v>
      </c>
      <c r="C6" s="71" t="s">
        <v>91</v>
      </c>
    </row>
    <row r="7" spans="2:3" x14ac:dyDescent="0.25">
      <c r="B7" s="45" t="s">
        <v>134</v>
      </c>
      <c r="C7" s="52" t="s">
        <v>45</v>
      </c>
    </row>
    <row r="8" spans="2:3" x14ac:dyDescent="0.25">
      <c r="B8" s="45" t="s">
        <v>133</v>
      </c>
      <c r="C8" s="70">
        <f>'GDP Deflators'!P5-1</f>
        <v>2.0832073567924381E-2</v>
      </c>
    </row>
    <row r="9" spans="2:3" x14ac:dyDescent="0.25">
      <c r="B9" s="35"/>
      <c r="C9" s="36"/>
    </row>
    <row r="10" spans="2:3" x14ac:dyDescent="0.25">
      <c r="B10" s="37" t="s">
        <v>92</v>
      </c>
      <c r="C10" s="36"/>
    </row>
    <row r="11" spans="2:3" x14ac:dyDescent="0.25">
      <c r="B11" s="45" t="s">
        <v>93</v>
      </c>
      <c r="C11" s="76">
        <f>'Value of Statistical Life'!F11</f>
        <v>9587302.7263098899</v>
      </c>
    </row>
    <row r="12" spans="2:3" x14ac:dyDescent="0.25">
      <c r="B12" s="121" t="s">
        <v>111</v>
      </c>
      <c r="C12" s="122"/>
    </row>
    <row r="14" spans="2:3" x14ac:dyDescent="0.25">
      <c r="B14" s="37" t="s">
        <v>35</v>
      </c>
      <c r="C14" s="36"/>
    </row>
    <row r="15" spans="2:3" x14ac:dyDescent="0.25">
      <c r="B15" s="45" t="s">
        <v>84</v>
      </c>
      <c r="C15" s="50">
        <f>'Value of Travel Time'!D21</f>
        <v>16.100000000000001</v>
      </c>
    </row>
    <row r="16" spans="2:3" x14ac:dyDescent="0.25">
      <c r="B16" s="90" t="s">
        <v>130</v>
      </c>
      <c r="C16" s="91">
        <v>1.2E-2</v>
      </c>
    </row>
    <row r="18" spans="2:3" x14ac:dyDescent="0.25">
      <c r="B18" s="37" t="s">
        <v>36</v>
      </c>
    </row>
    <row r="19" spans="2:3" x14ac:dyDescent="0.25">
      <c r="B19" s="47" t="s">
        <v>86</v>
      </c>
      <c r="C19" s="48">
        <f>'Value of Emissions'!D4</f>
        <v>2083.1541467275511</v>
      </c>
    </row>
    <row r="20" spans="2:3" x14ac:dyDescent="0.25">
      <c r="B20" s="47" t="s">
        <v>87</v>
      </c>
      <c r="C20" s="48">
        <f>'Value of Emissions'!D5</f>
        <v>8208.6069103416321</v>
      </c>
    </row>
    <row r="21" spans="2:3" x14ac:dyDescent="0.25">
      <c r="B21" s="45" t="s">
        <v>49</v>
      </c>
      <c r="C21" s="49">
        <f>(0.267383+0.37942)/2</f>
        <v>0.32340150000000001</v>
      </c>
    </row>
    <row r="22" spans="2:3" x14ac:dyDescent="0.25">
      <c r="B22" s="45" t="s">
        <v>50</v>
      </c>
      <c r="C22" s="49">
        <f>(0.183428+0.198698)/2</f>
        <v>0.19106300000000001</v>
      </c>
    </row>
    <row r="23" spans="2:3" ht="63.75" x14ac:dyDescent="0.25">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135</v>
      </c>
    </row>
    <row r="17" spans="2:4" x14ac:dyDescent="0.25">
      <c r="C17" s="8" t="s">
        <v>66</v>
      </c>
      <c r="D17" s="8" t="s">
        <v>83</v>
      </c>
    </row>
    <row r="18" spans="2:4" x14ac:dyDescent="0.25">
      <c r="B18" s="6" t="s">
        <v>7</v>
      </c>
      <c r="C18" s="7">
        <v>12.42</v>
      </c>
      <c r="D18" s="53">
        <f>C18*(1+'Assumed Values'!$C$16)^(2015-2013)</f>
        <v>12.719868479999999</v>
      </c>
    </row>
    <row r="19" spans="2:4" x14ac:dyDescent="0.25">
      <c r="B19" s="6" t="s">
        <v>8</v>
      </c>
      <c r="C19" s="7">
        <v>25.23</v>
      </c>
      <c r="D19" s="53">
        <f>C19*(1+'Assumed Values'!$C$16)^(2015-2013)</f>
        <v>25.839153119999999</v>
      </c>
    </row>
    <row r="20" spans="2:4" x14ac:dyDescent="0.25">
      <c r="B20" s="6" t="s">
        <v>4</v>
      </c>
      <c r="C20" s="7">
        <v>25.75</v>
      </c>
      <c r="D20" s="53">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E33" sqref="E33"/>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5" t="s">
        <v>136</v>
      </c>
    </row>
    <row r="4" spans="2:9" x14ac:dyDescent="0.25">
      <c r="B4" s="72" t="s">
        <v>94</v>
      </c>
      <c r="C4" s="72" t="s">
        <v>95</v>
      </c>
      <c r="D4" s="72" t="s">
        <v>96</v>
      </c>
      <c r="E4" s="72" t="s">
        <v>97</v>
      </c>
      <c r="F4" s="72" t="s">
        <v>110</v>
      </c>
    </row>
    <row r="5" spans="2:9" x14ac:dyDescent="0.25">
      <c r="B5" s="73" t="s">
        <v>311</v>
      </c>
      <c r="C5" s="73" t="s">
        <v>312</v>
      </c>
      <c r="D5" s="75">
        <v>0</v>
      </c>
      <c r="E5" s="74">
        <v>0</v>
      </c>
      <c r="F5" s="74">
        <f>E5*(1+'Assumed Values'!$C$8)^(2015-2013)</f>
        <v>0</v>
      </c>
    </row>
    <row r="6" spans="2:9" x14ac:dyDescent="0.25">
      <c r="B6" s="73" t="s">
        <v>98</v>
      </c>
      <c r="C6" s="73" t="s">
        <v>99</v>
      </c>
      <c r="D6" s="75">
        <v>3.0000000000000001E-3</v>
      </c>
      <c r="E6" s="74">
        <v>27600</v>
      </c>
      <c r="F6" s="74">
        <f>E6*(1+'Assumed Values'!$C$8)^(2015-2013)</f>
        <v>28761.908178929672</v>
      </c>
    </row>
    <row r="7" spans="2:9" x14ac:dyDescent="0.25">
      <c r="B7" s="73" t="s">
        <v>100</v>
      </c>
      <c r="C7" s="73" t="s">
        <v>101</v>
      </c>
      <c r="D7" s="75">
        <v>4.7E-2</v>
      </c>
      <c r="E7" s="74">
        <v>432400</v>
      </c>
      <c r="F7" s="74">
        <f>E7*(1+'Assumed Values'!$C$8)^(2015-2013)</f>
        <v>450603.22813656484</v>
      </c>
    </row>
    <row r="8" spans="2:9" x14ac:dyDescent="0.25">
      <c r="B8" s="73" t="s">
        <v>102</v>
      </c>
      <c r="C8" s="73" t="s">
        <v>103</v>
      </c>
      <c r="D8" s="75">
        <v>0.105</v>
      </c>
      <c r="E8" s="74">
        <v>966000</v>
      </c>
      <c r="F8" s="74">
        <f>E8*(1+'Assumed Values'!$C$8)^(2015-2013)</f>
        <v>1006666.7862625385</v>
      </c>
    </row>
    <row r="9" spans="2:9" x14ac:dyDescent="0.25">
      <c r="B9" s="73" t="s">
        <v>104</v>
      </c>
      <c r="C9" s="73" t="s">
        <v>105</v>
      </c>
      <c r="D9" s="75">
        <v>0.26600000000000001</v>
      </c>
      <c r="E9" s="74">
        <v>2447200</v>
      </c>
      <c r="F9" s="74">
        <f>E9*(1+'Assumed Values'!$C$8)^(2015-2013)</f>
        <v>2550222.5251984308</v>
      </c>
    </row>
    <row r="10" spans="2:9" x14ac:dyDescent="0.25">
      <c r="B10" s="73" t="s">
        <v>106</v>
      </c>
      <c r="C10" s="73" t="s">
        <v>107</v>
      </c>
      <c r="D10" s="75">
        <v>0.59299999999999997</v>
      </c>
      <c r="E10" s="74">
        <v>5455600</v>
      </c>
      <c r="F10" s="74">
        <f>E10*(1+'Assumed Values'!$C$8)^(2015-2013)</f>
        <v>5685270.5167017654</v>
      </c>
    </row>
    <row r="11" spans="2:9" x14ac:dyDescent="0.25">
      <c r="B11" s="73" t="s">
        <v>108</v>
      </c>
      <c r="C11" s="73" t="s">
        <v>109</v>
      </c>
      <c r="D11" s="75">
        <v>1</v>
      </c>
      <c r="E11" s="74">
        <v>9200000</v>
      </c>
      <c r="F11" s="74">
        <f>E11*(1+'Assumed Values'!$C$8)^(2015-2013)</f>
        <v>9587302.7263098899</v>
      </c>
    </row>
    <row r="14" spans="2:9" x14ac:dyDescent="0.25">
      <c r="B14" s="5" t="s">
        <v>314</v>
      </c>
    </row>
    <row r="16" spans="2:9" x14ac:dyDescent="0.25">
      <c r="B16" s="72" t="s">
        <v>94</v>
      </c>
      <c r="C16" s="103" t="s">
        <v>95</v>
      </c>
      <c r="D16" s="72" t="s">
        <v>145</v>
      </c>
      <c r="E16" s="72" t="s">
        <v>151</v>
      </c>
      <c r="F16" s="72" t="s">
        <v>150</v>
      </c>
      <c r="G16" s="72" t="s">
        <v>149</v>
      </c>
      <c r="H16" s="72" t="s">
        <v>148</v>
      </c>
      <c r="I16" s="72" t="s">
        <v>147</v>
      </c>
    </row>
    <row r="17" spans="2:9" x14ac:dyDescent="0.25">
      <c r="B17" s="72" t="s">
        <v>311</v>
      </c>
      <c r="C17" s="103" t="s">
        <v>312</v>
      </c>
      <c r="D17" s="104">
        <v>0</v>
      </c>
      <c r="E17" s="104">
        <v>3.4369999999999998E-2</v>
      </c>
      <c r="F17" s="104">
        <v>8.3470000000000003E-2</v>
      </c>
      <c r="G17" s="104">
        <v>0.23436999999999999</v>
      </c>
      <c r="H17" s="104">
        <v>0.92534000000000005</v>
      </c>
      <c r="I17" s="104">
        <v>0.43675999999999998</v>
      </c>
    </row>
    <row r="18" spans="2:9" x14ac:dyDescent="0.25">
      <c r="B18" s="72" t="s">
        <v>98</v>
      </c>
      <c r="C18" s="73" t="s">
        <v>99</v>
      </c>
      <c r="D18" s="104">
        <v>0</v>
      </c>
      <c r="E18" s="104">
        <v>0.55449000000000004</v>
      </c>
      <c r="F18" s="104">
        <v>0.76842999999999995</v>
      </c>
      <c r="G18" s="104">
        <v>0.68945999999999996</v>
      </c>
      <c r="H18" s="104">
        <v>7.2569999999999996E-2</v>
      </c>
      <c r="I18" s="104">
        <v>0.41738999999999998</v>
      </c>
    </row>
    <row r="19" spans="2:9" x14ac:dyDescent="0.25">
      <c r="B19" s="72" t="s">
        <v>100</v>
      </c>
      <c r="C19" s="73" t="s">
        <v>101</v>
      </c>
      <c r="D19" s="104">
        <v>0</v>
      </c>
      <c r="E19" s="104">
        <v>0.20907999999999999</v>
      </c>
      <c r="F19" s="104">
        <v>0.10897999999999999</v>
      </c>
      <c r="G19" s="104">
        <v>6.3909999999999995E-2</v>
      </c>
      <c r="H19" s="104">
        <v>1.98E-3</v>
      </c>
      <c r="I19" s="104">
        <v>8.8719999999999993E-2</v>
      </c>
    </row>
    <row r="20" spans="2:9" x14ac:dyDescent="0.25">
      <c r="B20" s="72" t="s">
        <v>102</v>
      </c>
      <c r="C20" s="73" t="s">
        <v>103</v>
      </c>
      <c r="D20" s="104">
        <v>0</v>
      </c>
      <c r="E20" s="104">
        <v>0.14437</v>
      </c>
      <c r="F20" s="104">
        <v>3.1910000000000001E-2</v>
      </c>
      <c r="G20" s="104">
        <v>1.0710000000000001E-2</v>
      </c>
      <c r="H20" s="104">
        <v>8.0000000000000007E-5</v>
      </c>
      <c r="I20" s="104">
        <v>4.8169999999999998E-2</v>
      </c>
    </row>
    <row r="21" spans="2:9" x14ac:dyDescent="0.25">
      <c r="B21" s="72" t="s">
        <v>104</v>
      </c>
      <c r="C21" s="73" t="s">
        <v>105</v>
      </c>
      <c r="D21" s="104">
        <v>0</v>
      </c>
      <c r="E21" s="104">
        <v>3.986E-2</v>
      </c>
      <c r="F21" s="104">
        <v>6.1999999999999998E-3</v>
      </c>
      <c r="G21" s="104">
        <v>1.42E-3</v>
      </c>
      <c r="H21" s="104">
        <v>0</v>
      </c>
      <c r="I21" s="104">
        <v>6.1700000000000001E-3</v>
      </c>
    </row>
    <row r="22" spans="2:9" x14ac:dyDescent="0.25">
      <c r="B22" s="72" t="s">
        <v>106</v>
      </c>
      <c r="C22" s="73" t="s">
        <v>107</v>
      </c>
      <c r="D22" s="104">
        <v>0</v>
      </c>
      <c r="E22" s="104">
        <v>1.7829999999999999E-2</v>
      </c>
      <c r="F22" s="104">
        <v>1.01E-3</v>
      </c>
      <c r="G22" s="104">
        <v>1.2999999999999999E-4</v>
      </c>
      <c r="H22" s="104">
        <v>3.0000000000000001E-5</v>
      </c>
      <c r="I22" s="104">
        <v>2.7899999999999999E-3</v>
      </c>
    </row>
    <row r="23" spans="2:9" x14ac:dyDescent="0.25">
      <c r="B23" s="72" t="s">
        <v>108</v>
      </c>
      <c r="C23" s="73" t="s">
        <v>109</v>
      </c>
      <c r="D23" s="104">
        <v>1</v>
      </c>
      <c r="E23" s="104">
        <v>0</v>
      </c>
      <c r="F23" s="104">
        <v>0</v>
      </c>
      <c r="G23" s="104">
        <v>0</v>
      </c>
      <c r="H23" s="104">
        <v>0</v>
      </c>
      <c r="I23" s="104">
        <v>0</v>
      </c>
    </row>
    <row r="24" spans="2:9" x14ac:dyDescent="0.25">
      <c r="B24" s="123" t="s">
        <v>313</v>
      </c>
      <c r="C24" s="123"/>
      <c r="D24" s="105">
        <f t="shared" ref="D24:I24" si="0">SUM(D17:D23)</f>
        <v>1</v>
      </c>
      <c r="E24" s="105">
        <f t="shared" si="0"/>
        <v>1</v>
      </c>
      <c r="F24" s="105">
        <f t="shared" si="0"/>
        <v>0.99999999999999989</v>
      </c>
      <c r="G24" s="105">
        <f t="shared" si="0"/>
        <v>0.99999999999999989</v>
      </c>
      <c r="H24" s="105">
        <f t="shared" si="0"/>
        <v>1</v>
      </c>
      <c r="I24" s="105">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4" t="s">
        <v>10</v>
      </c>
      <c r="C3" s="54" t="s">
        <v>77</v>
      </c>
      <c r="D3" s="54" t="s">
        <v>85</v>
      </c>
    </row>
    <row r="4" spans="2:4" x14ac:dyDescent="0.25">
      <c r="B4" s="47" t="s">
        <v>11</v>
      </c>
      <c r="C4" s="69">
        <v>1999</v>
      </c>
      <c r="D4" s="69">
        <f>C4*(1+'Assumed Values'!$C$8)^(2015-2013)</f>
        <v>2083.1541467275511</v>
      </c>
    </row>
    <row r="5" spans="2:4" x14ac:dyDescent="0.25">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8"/>
      <c r="C2" s="38"/>
      <c r="D2" s="38"/>
      <c r="E2" s="38"/>
      <c r="F2" s="38"/>
      <c r="G2" s="38"/>
      <c r="H2" s="38"/>
      <c r="I2" s="38"/>
      <c r="J2" s="38"/>
      <c r="K2" s="38"/>
      <c r="L2" s="38"/>
      <c r="M2" s="38"/>
      <c r="N2" s="38"/>
    </row>
    <row r="3" spans="1:16" x14ac:dyDescent="0.25">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25">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25">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25">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25">
      <c r="A8" s="43" t="s">
        <v>40</v>
      </c>
    </row>
    <row r="9" spans="1:16" x14ac:dyDescent="0.25">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C2" sqref="C2:E8"/>
    </sheetView>
  </sheetViews>
  <sheetFormatPr defaultRowHeight="15" x14ac:dyDescent="0.25"/>
  <cols>
    <col min="2" max="2" width="24.28515625" bestFit="1" customWidth="1"/>
    <col min="3" max="3" width="7.5703125" bestFit="1" customWidth="1"/>
    <col min="4" max="5" width="6.85546875" bestFit="1" customWidth="1"/>
  </cols>
  <sheetData>
    <row r="2" spans="2:5" x14ac:dyDescent="0.25">
      <c r="B2" s="100" t="s">
        <v>300</v>
      </c>
      <c r="C2" s="101">
        <f>D2-1</f>
        <v>2011</v>
      </c>
      <c r="D2" s="101">
        <f>E2-1</f>
        <v>2012</v>
      </c>
      <c r="E2" s="101">
        <f>MAX(INDEX(CRASH!1:1048576,,MATCH("Year",CRASH!1:1,0)))</f>
        <v>2013</v>
      </c>
    </row>
    <row r="3" spans="2:5" x14ac:dyDescent="0.25">
      <c r="B3" s="12" t="s">
        <v>145</v>
      </c>
      <c r="C3" s="16">
        <f>SUMIFS(INDEX(CRASH!$1:$1048576,,MATCH($B3,CRASH!$1:$1,0)),INDEX(CRASH!$1:$1048576,,MATCH("Year",CRASH!$1:$1,0)),C$2)</f>
        <v>0</v>
      </c>
      <c r="D3" s="16">
        <f>SUMIFS(INDEX(CRASH!$1:$1048576,,MATCH($B3,CRASH!$1:$1,0)),INDEX(CRASH!$1:$1048576,,MATCH("Year",CRASH!$1:$1,0)),D$2)</f>
        <v>1</v>
      </c>
      <c r="E3" s="16">
        <f>SUMIFS(INDEX(CRASH!$1:$1048576,,MATCH($B3,CRASH!$1:$1,0)),INDEX(CRASH!$1:$1048576,,MATCH("Year",CRASH!$1:$1,0)),E$2)</f>
        <v>0</v>
      </c>
    </row>
    <row r="4" spans="2:5" x14ac:dyDescent="0.25">
      <c r="B4" s="12" t="s">
        <v>151</v>
      </c>
      <c r="C4" s="16">
        <f>SUMIFS(INDEX(CRASH!$1:$1048576,,MATCH($B4,CRASH!$1:$1,0)),INDEX(CRASH!$1:$1048576,,MATCH("Year",CRASH!$1:$1,0)),C$2)</f>
        <v>1</v>
      </c>
      <c r="D4" s="16">
        <f>SUMIFS(INDEX(CRASH!$1:$1048576,,MATCH($B4,CRASH!$1:$1,0)),INDEX(CRASH!$1:$1048576,,MATCH("Year",CRASH!$1:$1,0)),D$2)</f>
        <v>2</v>
      </c>
      <c r="E4" s="16">
        <f>SUMIFS(INDEX(CRASH!$1:$1048576,,MATCH($B4,CRASH!$1:$1,0)),INDEX(CRASH!$1:$1048576,,MATCH("Year",CRASH!$1:$1,0)),E$2)</f>
        <v>0</v>
      </c>
    </row>
    <row r="5" spans="2:5" x14ac:dyDescent="0.25">
      <c r="B5" s="12" t="s">
        <v>150</v>
      </c>
      <c r="C5" s="16">
        <f>SUMIFS(INDEX(CRASH!$1:$1048576,,MATCH($B5,CRASH!$1:$1,0)),INDEX(CRASH!$1:$1048576,,MATCH("Year",CRASH!$1:$1,0)),C$2)</f>
        <v>2</v>
      </c>
      <c r="D5" s="16">
        <f>SUMIFS(INDEX(CRASH!$1:$1048576,,MATCH($B5,CRASH!$1:$1,0)),INDEX(CRASH!$1:$1048576,,MATCH("Year",CRASH!$1:$1,0)),D$2)</f>
        <v>3</v>
      </c>
      <c r="E5" s="16">
        <f>SUMIFS(INDEX(CRASH!$1:$1048576,,MATCH($B5,CRASH!$1:$1,0)),INDEX(CRASH!$1:$1048576,,MATCH("Year",CRASH!$1:$1,0)),E$2)</f>
        <v>3</v>
      </c>
    </row>
    <row r="6" spans="2:5" x14ac:dyDescent="0.25">
      <c r="B6" s="12" t="s">
        <v>149</v>
      </c>
      <c r="C6" s="16">
        <f>SUMIFS(INDEX(CRASH!$1:$1048576,,MATCH($B6,CRASH!$1:$1,0)),INDEX(CRASH!$1:$1048576,,MATCH("Year",CRASH!$1:$1,0)),C$2)</f>
        <v>5</v>
      </c>
      <c r="D6" s="16">
        <f>SUMIFS(INDEX(CRASH!$1:$1048576,,MATCH($B6,CRASH!$1:$1,0)),INDEX(CRASH!$1:$1048576,,MATCH("Year",CRASH!$1:$1,0)),D$2)</f>
        <v>0</v>
      </c>
      <c r="E6" s="16">
        <f>SUMIFS(INDEX(CRASH!$1:$1048576,,MATCH($B6,CRASH!$1:$1,0)),INDEX(CRASH!$1:$1048576,,MATCH("Year",CRASH!$1:$1,0)),E$2)</f>
        <v>1</v>
      </c>
    </row>
    <row r="7" spans="2:5" x14ac:dyDescent="0.25">
      <c r="B7" s="12" t="s">
        <v>148</v>
      </c>
      <c r="C7" s="16">
        <f>SUMIFS(INDEX(CRASH!$1:$1048576,,MATCH($B7,CRASH!$1:$1,0)),INDEX(CRASH!$1:$1048576,,MATCH("Year",CRASH!$1:$1,0)),C$2)</f>
        <v>24</v>
      </c>
      <c r="D7" s="16">
        <f>SUMIFS(INDEX(CRASH!$1:$1048576,,MATCH($B7,CRASH!$1:$1,0)),INDEX(CRASH!$1:$1048576,,MATCH("Year",CRASH!$1:$1,0)),D$2)</f>
        <v>15</v>
      </c>
      <c r="E7" s="16">
        <f>SUMIFS(INDEX(CRASH!$1:$1048576,,MATCH($B7,CRASH!$1:$1,0)),INDEX(CRASH!$1:$1048576,,MATCH("Year",CRASH!$1:$1,0)),E$2)</f>
        <v>24</v>
      </c>
    </row>
    <row r="8" spans="2:5" x14ac:dyDescent="0.25">
      <c r="B8" s="12" t="s">
        <v>147</v>
      </c>
      <c r="C8" s="16">
        <f>SUMIFS(INDEX(CRASH!$1:$1048576,,MATCH($B8,CRASH!$1:$1,0)),INDEX(CRASH!$1:$1048576,,MATCH("Year",CRASH!$1:$1,0)),C$2)</f>
        <v>0</v>
      </c>
      <c r="D8" s="16">
        <f>SUMIFS(INDEX(CRASH!$1:$1048576,,MATCH($B8,CRASH!$1:$1,0)),INDEX(CRASH!$1:$1048576,,MATCH("Year",CRASH!$1:$1,0)),D$2)</f>
        <v>0</v>
      </c>
      <c r="E8" s="16">
        <f>SUMIFS(INDEX(CRASH!$1:$1048576,,MATCH($B8,CRASH!$1:$1,0)),INDEX(CRASH!$1:$1048576,,MATCH("Year",CRASH!$1:$1,0)),E$2)</f>
        <v>0</v>
      </c>
    </row>
    <row r="10" spans="2:5" x14ac:dyDescent="0.25">
      <c r="B10" s="102" t="s">
        <v>310</v>
      </c>
      <c r="C10" s="73" t="s">
        <v>301</v>
      </c>
      <c r="D10" s="73" t="s">
        <v>303</v>
      </c>
      <c r="E10" s="73" t="s">
        <v>302</v>
      </c>
    </row>
    <row r="11" spans="2:5" x14ac:dyDescent="0.25">
      <c r="C11" s="73">
        <v>0</v>
      </c>
      <c r="D11" s="73">
        <v>0</v>
      </c>
      <c r="E11" s="73">
        <v>0</v>
      </c>
    </row>
    <row r="12" spans="2:5" x14ac:dyDescent="0.25">
      <c r="C12" s="73">
        <v>0</v>
      </c>
      <c r="D12" s="73">
        <v>0</v>
      </c>
      <c r="E12" s="73">
        <v>0</v>
      </c>
    </row>
    <row r="13" spans="2:5" x14ac:dyDescent="0.25">
      <c r="C13" s="73">
        <v>0</v>
      </c>
      <c r="D13" s="73">
        <v>0</v>
      </c>
      <c r="E13" s="73">
        <v>0</v>
      </c>
    </row>
    <row r="14" spans="2:5" x14ac:dyDescent="0.25">
      <c r="C14" s="73">
        <v>0</v>
      </c>
      <c r="D14" s="73">
        <v>0</v>
      </c>
      <c r="E14" s="73">
        <v>0</v>
      </c>
    </row>
    <row r="15" spans="2:5" x14ac:dyDescent="0.25">
      <c r="C15" s="73">
        <v>0</v>
      </c>
      <c r="D15" s="73">
        <v>0</v>
      </c>
      <c r="E15" s="73">
        <v>0</v>
      </c>
    </row>
    <row r="16" spans="2:5" x14ac:dyDescent="0.25">
      <c r="C16" s="73">
        <v>0</v>
      </c>
      <c r="D16" s="73">
        <v>0</v>
      </c>
      <c r="E16" s="7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engineer-michael</cp:lastModifiedBy>
  <cp:lastPrinted>2014-11-11T16:55:33Z</cp:lastPrinted>
  <dcterms:created xsi:type="dcterms:W3CDTF">2012-07-25T15:48:32Z</dcterms:created>
  <dcterms:modified xsi:type="dcterms:W3CDTF">2015-01-07T16:36:14Z</dcterms:modified>
</cp:coreProperties>
</file>