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cedadmn.hco.hc.hctx.net\CapProjReviews\Precinct 2\FederalRd\01 Project Management\TIP Application\Submittal Sections\Other Investments\"/>
    </mc:Choice>
  </mc:AlternateContent>
  <bookViews>
    <workbookView xWindow="0" yWindow="0" windowWidth="28800" windowHeight="12735" tabRatio="763" firstSheet="3" activeTab="4"/>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Direct Delay Calcs" sheetId="13" r:id="rId6"/>
    <sheet name="Gate Arm Observations" sheetId="14" r:id="rId7"/>
    <sheet name="Assumed Values" sheetId="2" r:id="rId8"/>
    <sheet name="Value of Travel Time" sheetId="1" r:id="rId9"/>
    <sheet name="Value of Statistical Life" sheetId="9" r:id="rId10"/>
    <sheet name="Value of Emissions" sheetId="6" r:id="rId11"/>
    <sheet name="GDP Deflators" sheetId="4" r:id="rId12"/>
  </sheets>
  <definedNames>
    <definedName name="_2018_2025_Demand_Growth">Calculations!#REF!</definedName>
    <definedName name="_2018_2025_V_C_Growth">Calculations!#REF!</definedName>
    <definedName name="_2018_2040_Demand_Growth">Calculations!#REF!</definedName>
    <definedName name="_2018_2040_V_C_Growth">Calculations!#REF!</definedName>
    <definedName name="_2018_Capacity">'Inputs &amp; Outputs'!$E$8</definedName>
    <definedName name="_2018_V_C_Ratio">Calculations!#REF!</definedName>
    <definedName name="_2018_Volume">'Inputs &amp; Outputs'!$E$7</definedName>
    <definedName name="_2025_2040_Demand_Growth">Calculations!#REF!</definedName>
    <definedName name="_2025_2040_V_C_Growth">Calculations!#REF!</definedName>
    <definedName name="_2025_Capacity">'Inputs &amp; Outputs'!$E$10</definedName>
    <definedName name="_2025_V_C_Ratio">Calculations!#REF!</definedName>
    <definedName name="_2025_Volume">'Inputs &amp; Outputs'!$E$9</definedName>
    <definedName name="_2040_Capacity">'Inputs &amp; Outputs'!$E$12</definedName>
    <definedName name="_2040_V_C_Ratio">Calculations!#REF!</definedName>
    <definedName name="_2040_Volume">'Inputs &amp; Outputs'!$E$11</definedName>
    <definedName name="Annual_Days_of_Travel">Calculations!$B$8</definedName>
    <definedName name="Application_ID_Number">'Inputs &amp; Outputs'!$B$7</definedName>
    <definedName name="Base_Year">Calculations!$B$4</definedName>
    <definedName name="Discount_Rate">Calculations!#REF!</definedName>
    <definedName name="Name">'Inputs &amp; Outputs'!$B$6</definedName>
    <definedName name="_xlnm.Print_Area" localSheetId="7">'Assumed Values'!$B$2:$C$30</definedName>
    <definedName name="_xlnm.Print_Area" localSheetId="4">Calculations!$A$3:$H$40</definedName>
    <definedName name="_xlnm.Print_Area" localSheetId="5">'Direct Delay Calcs'!$E$2:$I$20</definedName>
    <definedName name="_xlnm.Print_Area" localSheetId="2">'Emissions Reduction Worksheet'!$A$3:$K$33</definedName>
    <definedName name="_xlnm.Print_Area" localSheetId="6">'Gate Arm Observations'!$W$118:$AH$133</definedName>
    <definedName name="_xlnm.Print_Area" localSheetId="3">'Inputs &amp; Outputs'!$A$3:$F$27</definedName>
    <definedName name="_xlnm.Print_Area" localSheetId="0">Instructions!$A$1:$G$12</definedName>
    <definedName name="_xlnm.Print_Area" localSheetId="1">'ITS Delay Worksheet'!$A$3:$J$33</definedName>
    <definedName name="Real_wage_growth_rate">Calculations!$B$7</definedName>
    <definedName name="Sponsor_ID_Number__CSJ__etc.">'Inputs &amp; Outputs'!$B$8</definedName>
    <definedName name="Value_of_Delay_Savings__2015_____000s">Calculations!$H$4:$H$29+Calculations!$H$4:$H$36</definedName>
    <definedName name="Value_of_Travel_Time__VoTT___2015">Calculations!$B$6</definedName>
    <definedName name="Vehicle_Occupancy">Calculations!$B$5</definedName>
    <definedName name="Year_Open_to_Traffic?">'Inputs &amp; Outputs'!$B$9</definedName>
    <definedName name="Years_to_include_in_BCA_Analysis">Calculations!$B$9</definedName>
  </definedNames>
  <calcPr calcId="152511"/>
</workbook>
</file>

<file path=xl/calcChain.xml><?xml version="1.0" encoding="utf-8"?>
<calcChain xmlns="http://schemas.openxmlformats.org/spreadsheetml/2006/main">
  <c r="H40" i="12" l="1"/>
  <c r="H39" i="12"/>
  <c r="G113" i="14" l="1"/>
  <c r="I113" i="14" s="1"/>
  <c r="K113" i="14" s="1"/>
  <c r="P113" i="14" s="1"/>
  <c r="F113" i="14"/>
  <c r="H113" i="14" s="1"/>
  <c r="J113" i="14" s="1"/>
  <c r="G112" i="14"/>
  <c r="I112" i="14" s="1"/>
  <c r="K112" i="14" s="1"/>
  <c r="P112" i="14" s="1"/>
  <c r="F112" i="14"/>
  <c r="H112" i="14" s="1"/>
  <c r="J112" i="14" s="1"/>
  <c r="O112" i="14" s="1"/>
  <c r="G111" i="14"/>
  <c r="I111" i="14" s="1"/>
  <c r="K111" i="14" s="1"/>
  <c r="P111" i="14" s="1"/>
  <c r="F111" i="14"/>
  <c r="H111" i="14" s="1"/>
  <c r="J111" i="14" s="1"/>
  <c r="O111" i="14" s="1"/>
  <c r="G110" i="14"/>
  <c r="I110" i="14" s="1"/>
  <c r="K110" i="14" s="1"/>
  <c r="P110" i="14" s="1"/>
  <c r="F110" i="14"/>
  <c r="H110" i="14" s="1"/>
  <c r="J110" i="14" s="1"/>
  <c r="O110" i="14" s="1"/>
  <c r="G109" i="14"/>
  <c r="I109" i="14" s="1"/>
  <c r="K109" i="14" s="1"/>
  <c r="P109" i="14" s="1"/>
  <c r="F109" i="14"/>
  <c r="H109" i="14" s="1"/>
  <c r="J109" i="14" s="1"/>
  <c r="O109" i="14" s="1"/>
  <c r="G108" i="14"/>
  <c r="I108" i="14" s="1"/>
  <c r="K108" i="14" s="1"/>
  <c r="P108" i="14" s="1"/>
  <c r="F108" i="14"/>
  <c r="H108" i="14" s="1"/>
  <c r="J108" i="14" s="1"/>
  <c r="O108" i="14" s="1"/>
  <c r="G107" i="14"/>
  <c r="I107" i="14" s="1"/>
  <c r="K107" i="14" s="1"/>
  <c r="P107" i="14" s="1"/>
  <c r="F107" i="14"/>
  <c r="H107" i="14" s="1"/>
  <c r="J107" i="14" s="1"/>
  <c r="O107" i="14" s="1"/>
  <c r="G106" i="14"/>
  <c r="I106" i="14" s="1"/>
  <c r="K106" i="14" s="1"/>
  <c r="P106" i="14" s="1"/>
  <c r="F106" i="14"/>
  <c r="H106" i="14" s="1"/>
  <c r="J106" i="14" s="1"/>
  <c r="O106" i="14" s="1"/>
  <c r="G105" i="14"/>
  <c r="I105" i="14" s="1"/>
  <c r="K105" i="14" s="1"/>
  <c r="P105" i="14" s="1"/>
  <c r="F105" i="14"/>
  <c r="H105" i="14" s="1"/>
  <c r="J105" i="14" s="1"/>
  <c r="O105" i="14" s="1"/>
  <c r="G104" i="14"/>
  <c r="I104" i="14" s="1"/>
  <c r="K104" i="14" s="1"/>
  <c r="P104" i="14" s="1"/>
  <c r="F104" i="14"/>
  <c r="H104" i="14" s="1"/>
  <c r="J104" i="14" s="1"/>
  <c r="O104" i="14" s="1"/>
  <c r="G103" i="14"/>
  <c r="I103" i="14" s="1"/>
  <c r="K103" i="14" s="1"/>
  <c r="P103" i="14" s="1"/>
  <c r="F103" i="14"/>
  <c r="H103" i="14" s="1"/>
  <c r="J103" i="14" s="1"/>
  <c r="O103" i="14" s="1"/>
  <c r="G102" i="14"/>
  <c r="I102" i="14" s="1"/>
  <c r="K102" i="14" s="1"/>
  <c r="P102" i="14" s="1"/>
  <c r="F102" i="14"/>
  <c r="H102" i="14" s="1"/>
  <c r="J102" i="14" s="1"/>
  <c r="O102" i="14" s="1"/>
  <c r="G101" i="14"/>
  <c r="I101" i="14" s="1"/>
  <c r="K101" i="14" s="1"/>
  <c r="P101" i="14" s="1"/>
  <c r="F101" i="14"/>
  <c r="H101" i="14" s="1"/>
  <c r="J101" i="14" s="1"/>
  <c r="O101" i="14" s="1"/>
  <c r="G100" i="14"/>
  <c r="I100" i="14" s="1"/>
  <c r="K100" i="14" s="1"/>
  <c r="P100" i="14" s="1"/>
  <c r="F100" i="14"/>
  <c r="H100" i="14" s="1"/>
  <c r="J100" i="14" s="1"/>
  <c r="O100" i="14" s="1"/>
  <c r="G99" i="14"/>
  <c r="I99" i="14" s="1"/>
  <c r="K99" i="14" s="1"/>
  <c r="P99" i="14" s="1"/>
  <c r="F99" i="14"/>
  <c r="H99" i="14" s="1"/>
  <c r="J99" i="14" s="1"/>
  <c r="O99" i="14" s="1"/>
  <c r="G98" i="14"/>
  <c r="I98" i="14" s="1"/>
  <c r="K98" i="14" s="1"/>
  <c r="P98" i="14" s="1"/>
  <c r="F98" i="14"/>
  <c r="H98" i="14" s="1"/>
  <c r="J98" i="14" s="1"/>
  <c r="O98" i="14" s="1"/>
  <c r="G97" i="14"/>
  <c r="I97" i="14" s="1"/>
  <c r="K97" i="14" s="1"/>
  <c r="P97" i="14" s="1"/>
  <c r="F97" i="14"/>
  <c r="H97" i="14" s="1"/>
  <c r="J97" i="14" s="1"/>
  <c r="O97" i="14" s="1"/>
  <c r="G96" i="14"/>
  <c r="I96" i="14" s="1"/>
  <c r="K96" i="14" s="1"/>
  <c r="P96" i="14" s="1"/>
  <c r="F96" i="14"/>
  <c r="H96" i="14" s="1"/>
  <c r="J96" i="14" s="1"/>
  <c r="O96" i="14" s="1"/>
  <c r="G95" i="14"/>
  <c r="I95" i="14" s="1"/>
  <c r="K95" i="14" s="1"/>
  <c r="P95" i="14" s="1"/>
  <c r="F95" i="14"/>
  <c r="H95" i="14" s="1"/>
  <c r="J95" i="14" s="1"/>
  <c r="O95" i="14" s="1"/>
  <c r="G94" i="14"/>
  <c r="I94" i="14" s="1"/>
  <c r="K94" i="14" s="1"/>
  <c r="F94" i="14"/>
  <c r="H94" i="14" s="1"/>
  <c r="J94" i="14" s="1"/>
  <c r="O94" i="14" s="1"/>
  <c r="G93" i="14"/>
  <c r="I93" i="14" s="1"/>
  <c r="K93" i="14" s="1"/>
  <c r="P93" i="14" s="1"/>
  <c r="F93" i="14"/>
  <c r="H93" i="14" s="1"/>
  <c r="J93" i="14" s="1"/>
  <c r="O93" i="14" s="1"/>
  <c r="G92" i="14"/>
  <c r="I92" i="14" s="1"/>
  <c r="K92" i="14" s="1"/>
  <c r="F92" i="14"/>
  <c r="H92" i="14" s="1"/>
  <c r="J92" i="14" s="1"/>
  <c r="G91" i="14"/>
  <c r="I91" i="14" s="1"/>
  <c r="K91" i="14" s="1"/>
  <c r="P91" i="14" s="1"/>
  <c r="F91" i="14"/>
  <c r="H91" i="14" s="1"/>
  <c r="J91" i="14" s="1"/>
  <c r="L91" i="14" s="1"/>
  <c r="G89" i="14"/>
  <c r="I89" i="14" s="1"/>
  <c r="K89" i="14" s="1"/>
  <c r="P89" i="14" s="1"/>
  <c r="F89" i="14"/>
  <c r="H89" i="14" s="1"/>
  <c r="J89" i="14" s="1"/>
  <c r="O89" i="14" s="1"/>
  <c r="G88" i="14"/>
  <c r="I88" i="14" s="1"/>
  <c r="K88" i="14" s="1"/>
  <c r="P88" i="14" s="1"/>
  <c r="F88" i="14"/>
  <c r="H88" i="14" s="1"/>
  <c r="J88" i="14" s="1"/>
  <c r="O88" i="14" s="1"/>
  <c r="G87" i="14"/>
  <c r="I87" i="14" s="1"/>
  <c r="K87" i="14" s="1"/>
  <c r="P87" i="14" s="1"/>
  <c r="F87" i="14"/>
  <c r="H87" i="14" s="1"/>
  <c r="J87" i="14" s="1"/>
  <c r="O87" i="14" s="1"/>
  <c r="G86" i="14"/>
  <c r="I86" i="14" s="1"/>
  <c r="K86" i="14" s="1"/>
  <c r="P86" i="14" s="1"/>
  <c r="F86" i="14"/>
  <c r="H86" i="14" s="1"/>
  <c r="J86" i="14" s="1"/>
  <c r="O86" i="14" s="1"/>
  <c r="G85" i="14"/>
  <c r="I85" i="14" s="1"/>
  <c r="K85" i="14" s="1"/>
  <c r="P85" i="14" s="1"/>
  <c r="F85" i="14"/>
  <c r="H85" i="14" s="1"/>
  <c r="J85" i="14" s="1"/>
  <c r="O85" i="14" s="1"/>
  <c r="G84" i="14"/>
  <c r="I84" i="14" s="1"/>
  <c r="K84" i="14" s="1"/>
  <c r="P84" i="14" s="1"/>
  <c r="F84" i="14"/>
  <c r="H84" i="14" s="1"/>
  <c r="J84" i="14" s="1"/>
  <c r="O84" i="14" s="1"/>
  <c r="G83" i="14"/>
  <c r="I83" i="14" s="1"/>
  <c r="K83" i="14" s="1"/>
  <c r="P83" i="14" s="1"/>
  <c r="F83" i="14"/>
  <c r="H83" i="14" s="1"/>
  <c r="J83" i="14" s="1"/>
  <c r="O83" i="14" s="1"/>
  <c r="G82" i="14"/>
  <c r="I82" i="14" s="1"/>
  <c r="K82" i="14" s="1"/>
  <c r="P82" i="14" s="1"/>
  <c r="F82" i="14"/>
  <c r="H82" i="14" s="1"/>
  <c r="J82" i="14" s="1"/>
  <c r="O82" i="14" s="1"/>
  <c r="G81" i="14"/>
  <c r="I81" i="14" s="1"/>
  <c r="K81" i="14" s="1"/>
  <c r="P81" i="14" s="1"/>
  <c r="F81" i="14"/>
  <c r="H81" i="14" s="1"/>
  <c r="J81" i="14" s="1"/>
  <c r="O81" i="14" s="1"/>
  <c r="G80" i="14"/>
  <c r="I80" i="14" s="1"/>
  <c r="K80" i="14" s="1"/>
  <c r="P80" i="14" s="1"/>
  <c r="F80" i="14"/>
  <c r="H80" i="14" s="1"/>
  <c r="J80" i="14" s="1"/>
  <c r="O80" i="14" s="1"/>
  <c r="G79" i="14"/>
  <c r="I79" i="14" s="1"/>
  <c r="K79" i="14" s="1"/>
  <c r="P79" i="14" s="1"/>
  <c r="F79" i="14"/>
  <c r="H79" i="14" s="1"/>
  <c r="J79" i="14" s="1"/>
  <c r="O79" i="14" s="1"/>
  <c r="G78" i="14"/>
  <c r="I78" i="14" s="1"/>
  <c r="K78" i="14" s="1"/>
  <c r="P78" i="14" s="1"/>
  <c r="F78" i="14"/>
  <c r="H78" i="14" s="1"/>
  <c r="J78" i="14" s="1"/>
  <c r="O78" i="14" s="1"/>
  <c r="G77" i="14"/>
  <c r="I77" i="14" s="1"/>
  <c r="K77" i="14" s="1"/>
  <c r="P77" i="14" s="1"/>
  <c r="F77" i="14"/>
  <c r="H77" i="14" s="1"/>
  <c r="J77" i="14" s="1"/>
  <c r="O77" i="14" s="1"/>
  <c r="G76" i="14"/>
  <c r="I76" i="14" s="1"/>
  <c r="K76" i="14" s="1"/>
  <c r="P76" i="14" s="1"/>
  <c r="F76" i="14"/>
  <c r="H76" i="14" s="1"/>
  <c r="J76" i="14" s="1"/>
  <c r="O76" i="14" s="1"/>
  <c r="G75" i="14"/>
  <c r="I75" i="14" s="1"/>
  <c r="K75" i="14" s="1"/>
  <c r="P75" i="14" s="1"/>
  <c r="F75" i="14"/>
  <c r="H75" i="14" s="1"/>
  <c r="J75" i="14" s="1"/>
  <c r="O75" i="14" s="1"/>
  <c r="G74" i="14"/>
  <c r="I74" i="14" s="1"/>
  <c r="K74" i="14" s="1"/>
  <c r="F74" i="14"/>
  <c r="H74" i="14" s="1"/>
  <c r="J74" i="14" s="1"/>
  <c r="L74" i="14" s="1"/>
  <c r="G72" i="14"/>
  <c r="I72" i="14" s="1"/>
  <c r="K72" i="14" s="1"/>
  <c r="P72" i="14" s="1"/>
  <c r="F72" i="14"/>
  <c r="H72" i="14" s="1"/>
  <c r="J72" i="14" s="1"/>
  <c r="O72" i="14" s="1"/>
  <c r="G71" i="14"/>
  <c r="I71" i="14" s="1"/>
  <c r="K71" i="14" s="1"/>
  <c r="P71" i="14" s="1"/>
  <c r="F71" i="14"/>
  <c r="H71" i="14" s="1"/>
  <c r="J71" i="14" s="1"/>
  <c r="O71" i="14" s="1"/>
  <c r="G70" i="14"/>
  <c r="I70" i="14" s="1"/>
  <c r="K70" i="14" s="1"/>
  <c r="P70" i="14" s="1"/>
  <c r="F70" i="14"/>
  <c r="H70" i="14" s="1"/>
  <c r="J70" i="14" s="1"/>
  <c r="O70" i="14" s="1"/>
  <c r="G69" i="14"/>
  <c r="I69" i="14" s="1"/>
  <c r="K69" i="14" s="1"/>
  <c r="P69" i="14" s="1"/>
  <c r="F69" i="14"/>
  <c r="H69" i="14" s="1"/>
  <c r="J69" i="14" s="1"/>
  <c r="O69" i="14" s="1"/>
  <c r="G68" i="14"/>
  <c r="I68" i="14" s="1"/>
  <c r="K68" i="14" s="1"/>
  <c r="P68" i="14" s="1"/>
  <c r="F68" i="14"/>
  <c r="H68" i="14" s="1"/>
  <c r="J68" i="14" s="1"/>
  <c r="O68" i="14" s="1"/>
  <c r="G67" i="14"/>
  <c r="I67" i="14" s="1"/>
  <c r="K67" i="14" s="1"/>
  <c r="P67" i="14" s="1"/>
  <c r="F67" i="14"/>
  <c r="H67" i="14" s="1"/>
  <c r="J67" i="14" s="1"/>
  <c r="O67" i="14" s="1"/>
  <c r="G66" i="14"/>
  <c r="I66" i="14" s="1"/>
  <c r="K66" i="14" s="1"/>
  <c r="P66" i="14" s="1"/>
  <c r="F66" i="14"/>
  <c r="H66" i="14" s="1"/>
  <c r="J66" i="14" s="1"/>
  <c r="O66" i="14" s="1"/>
  <c r="G65" i="14"/>
  <c r="I65" i="14" s="1"/>
  <c r="K65" i="14" s="1"/>
  <c r="P65" i="14" s="1"/>
  <c r="F65" i="14"/>
  <c r="H65" i="14" s="1"/>
  <c r="J65" i="14" s="1"/>
  <c r="O65" i="14" s="1"/>
  <c r="G64" i="14"/>
  <c r="I64" i="14" s="1"/>
  <c r="K64" i="14" s="1"/>
  <c r="P64" i="14" s="1"/>
  <c r="F64" i="14"/>
  <c r="H64" i="14" s="1"/>
  <c r="J64" i="14" s="1"/>
  <c r="O64" i="14" s="1"/>
  <c r="G63" i="14"/>
  <c r="I63" i="14" s="1"/>
  <c r="K63" i="14" s="1"/>
  <c r="P63" i="14" s="1"/>
  <c r="F63" i="14"/>
  <c r="H63" i="14" s="1"/>
  <c r="J63" i="14" s="1"/>
  <c r="O63" i="14" s="1"/>
  <c r="G62" i="14"/>
  <c r="I62" i="14" s="1"/>
  <c r="K62" i="14" s="1"/>
  <c r="P62" i="14" s="1"/>
  <c r="F62" i="14"/>
  <c r="H62" i="14" s="1"/>
  <c r="J62" i="14" s="1"/>
  <c r="O62" i="14" s="1"/>
  <c r="G61" i="14"/>
  <c r="I61" i="14" s="1"/>
  <c r="K61" i="14" s="1"/>
  <c r="P61" i="14" s="1"/>
  <c r="F61" i="14"/>
  <c r="H61" i="14" s="1"/>
  <c r="J61" i="14" s="1"/>
  <c r="O61" i="14" s="1"/>
  <c r="G60" i="14"/>
  <c r="I60" i="14" s="1"/>
  <c r="K60" i="14" s="1"/>
  <c r="P60" i="14" s="1"/>
  <c r="F60" i="14"/>
  <c r="H60" i="14" s="1"/>
  <c r="J60" i="14" s="1"/>
  <c r="O60" i="14" s="1"/>
  <c r="G59" i="14"/>
  <c r="I59" i="14" s="1"/>
  <c r="K59" i="14" s="1"/>
  <c r="P59" i="14" s="1"/>
  <c r="F59" i="14"/>
  <c r="H59" i="14" s="1"/>
  <c r="J59" i="14" s="1"/>
  <c r="O59" i="14" s="1"/>
  <c r="G58" i="14"/>
  <c r="I58" i="14" s="1"/>
  <c r="K58" i="14" s="1"/>
  <c r="F58" i="14"/>
  <c r="H58" i="14" s="1"/>
  <c r="J58" i="14" s="1"/>
  <c r="O58" i="14" s="1"/>
  <c r="G57" i="14"/>
  <c r="I57" i="14" s="1"/>
  <c r="K57" i="14" s="1"/>
  <c r="F57" i="14"/>
  <c r="H57" i="14" s="1"/>
  <c r="J57" i="14" s="1"/>
  <c r="L57" i="14" s="1"/>
  <c r="G56" i="14"/>
  <c r="I56" i="14" s="1"/>
  <c r="K56" i="14" s="1"/>
  <c r="F56" i="14"/>
  <c r="H56" i="14" s="1"/>
  <c r="J56" i="14" s="1"/>
  <c r="O56" i="14" s="1"/>
  <c r="G55" i="14"/>
  <c r="I55" i="14" s="1"/>
  <c r="K55" i="14" s="1"/>
  <c r="F55" i="14"/>
  <c r="H55" i="14" s="1"/>
  <c r="J55" i="14" s="1"/>
  <c r="L55" i="14" s="1"/>
  <c r="G54" i="14"/>
  <c r="I54" i="14" s="1"/>
  <c r="K54" i="14" s="1"/>
  <c r="F54" i="14"/>
  <c r="H54" i="14" s="1"/>
  <c r="J54" i="14" s="1"/>
  <c r="G53" i="14"/>
  <c r="I53" i="14" s="1"/>
  <c r="K53" i="14" s="1"/>
  <c r="F53" i="14"/>
  <c r="H53" i="14" s="1"/>
  <c r="J53" i="14" s="1"/>
  <c r="L53" i="14" s="1"/>
  <c r="G52" i="14"/>
  <c r="I52" i="14" s="1"/>
  <c r="K52" i="14" s="1"/>
  <c r="F52" i="14"/>
  <c r="H52" i="14" s="1"/>
  <c r="J52" i="14" s="1"/>
  <c r="O52" i="14" s="1"/>
  <c r="G50" i="14"/>
  <c r="I50" i="14" s="1"/>
  <c r="K50" i="14" s="1"/>
  <c r="P50" i="14" s="1"/>
  <c r="F50" i="14"/>
  <c r="H50" i="14" s="1"/>
  <c r="J50" i="14" s="1"/>
  <c r="O50" i="14" s="1"/>
  <c r="G49" i="14"/>
  <c r="I49" i="14" s="1"/>
  <c r="K49" i="14" s="1"/>
  <c r="P49" i="14" s="1"/>
  <c r="F49" i="14"/>
  <c r="H49" i="14" s="1"/>
  <c r="J49" i="14" s="1"/>
  <c r="O49" i="14" s="1"/>
  <c r="G48" i="14"/>
  <c r="I48" i="14" s="1"/>
  <c r="K48" i="14" s="1"/>
  <c r="P48" i="14" s="1"/>
  <c r="F48" i="14"/>
  <c r="H48" i="14" s="1"/>
  <c r="J48" i="14" s="1"/>
  <c r="O48" i="14" s="1"/>
  <c r="G47" i="14"/>
  <c r="I47" i="14" s="1"/>
  <c r="K47" i="14" s="1"/>
  <c r="P47" i="14" s="1"/>
  <c r="F47" i="14"/>
  <c r="H47" i="14" s="1"/>
  <c r="J47" i="14" s="1"/>
  <c r="O47" i="14" s="1"/>
  <c r="G46" i="14"/>
  <c r="I46" i="14" s="1"/>
  <c r="K46" i="14" s="1"/>
  <c r="P46" i="14" s="1"/>
  <c r="F46" i="14"/>
  <c r="H46" i="14" s="1"/>
  <c r="J46" i="14" s="1"/>
  <c r="O46" i="14" s="1"/>
  <c r="G45" i="14"/>
  <c r="I45" i="14" s="1"/>
  <c r="K45" i="14" s="1"/>
  <c r="P45" i="14" s="1"/>
  <c r="F45" i="14"/>
  <c r="H45" i="14" s="1"/>
  <c r="J45" i="14" s="1"/>
  <c r="O45" i="14" s="1"/>
  <c r="G44" i="14"/>
  <c r="I44" i="14" s="1"/>
  <c r="K44" i="14" s="1"/>
  <c r="P44" i="14" s="1"/>
  <c r="F44" i="14"/>
  <c r="H44" i="14" s="1"/>
  <c r="J44" i="14" s="1"/>
  <c r="O44" i="14" s="1"/>
  <c r="G43" i="14"/>
  <c r="I43" i="14" s="1"/>
  <c r="K43" i="14" s="1"/>
  <c r="P43" i="14" s="1"/>
  <c r="F43" i="14"/>
  <c r="H43" i="14" s="1"/>
  <c r="J43" i="14" s="1"/>
  <c r="O43" i="14" s="1"/>
  <c r="G42" i="14"/>
  <c r="I42" i="14" s="1"/>
  <c r="K42" i="14" s="1"/>
  <c r="P42" i="14" s="1"/>
  <c r="F42" i="14"/>
  <c r="H42" i="14" s="1"/>
  <c r="J42" i="14" s="1"/>
  <c r="O42" i="14" s="1"/>
  <c r="G41" i="14"/>
  <c r="I41" i="14" s="1"/>
  <c r="K41" i="14" s="1"/>
  <c r="F41" i="14"/>
  <c r="H41" i="14" s="1"/>
  <c r="J41" i="14" s="1"/>
  <c r="G40" i="14"/>
  <c r="I40" i="14" s="1"/>
  <c r="K40" i="14" s="1"/>
  <c r="P40" i="14" s="1"/>
  <c r="F40" i="14"/>
  <c r="H40" i="14" s="1"/>
  <c r="J40" i="14" s="1"/>
  <c r="G39" i="14"/>
  <c r="I39" i="14" s="1"/>
  <c r="K39" i="14" s="1"/>
  <c r="F39" i="14"/>
  <c r="H39" i="14" s="1"/>
  <c r="J39" i="14" s="1"/>
  <c r="O39" i="14" s="1"/>
  <c r="G38" i="14"/>
  <c r="I38" i="14" s="1"/>
  <c r="K38" i="14" s="1"/>
  <c r="P38" i="14" s="1"/>
  <c r="F38" i="14"/>
  <c r="H38" i="14" s="1"/>
  <c r="J38" i="14" s="1"/>
  <c r="L38" i="14" s="1"/>
  <c r="G36" i="14"/>
  <c r="I36" i="14" s="1"/>
  <c r="K36" i="14" s="1"/>
  <c r="P36" i="14" s="1"/>
  <c r="F36" i="14"/>
  <c r="H36" i="14" s="1"/>
  <c r="J36" i="14" s="1"/>
  <c r="O36" i="14" s="1"/>
  <c r="G35" i="14"/>
  <c r="I35" i="14" s="1"/>
  <c r="K35" i="14" s="1"/>
  <c r="P35" i="14" s="1"/>
  <c r="F35" i="14"/>
  <c r="H35" i="14" s="1"/>
  <c r="J35" i="14" s="1"/>
  <c r="O35" i="14" s="1"/>
  <c r="G34" i="14"/>
  <c r="I34" i="14" s="1"/>
  <c r="K34" i="14" s="1"/>
  <c r="P34" i="14" s="1"/>
  <c r="F34" i="14"/>
  <c r="H34" i="14" s="1"/>
  <c r="J34" i="14" s="1"/>
  <c r="O34" i="14" s="1"/>
  <c r="G33" i="14"/>
  <c r="I33" i="14" s="1"/>
  <c r="K33" i="14" s="1"/>
  <c r="P33" i="14" s="1"/>
  <c r="F33" i="14"/>
  <c r="H33" i="14" s="1"/>
  <c r="J33" i="14" s="1"/>
  <c r="O33" i="14" s="1"/>
  <c r="G32" i="14"/>
  <c r="I32" i="14" s="1"/>
  <c r="K32" i="14" s="1"/>
  <c r="P32" i="14" s="1"/>
  <c r="F32" i="14"/>
  <c r="H32" i="14" s="1"/>
  <c r="J32" i="14" s="1"/>
  <c r="O32" i="14" s="1"/>
  <c r="G31" i="14"/>
  <c r="I31" i="14" s="1"/>
  <c r="K31" i="14" s="1"/>
  <c r="P31" i="14" s="1"/>
  <c r="F31" i="14"/>
  <c r="H31" i="14" s="1"/>
  <c r="J31" i="14" s="1"/>
  <c r="O31" i="14" s="1"/>
  <c r="G30" i="14"/>
  <c r="I30" i="14" s="1"/>
  <c r="K30" i="14" s="1"/>
  <c r="P30" i="14" s="1"/>
  <c r="F30" i="14"/>
  <c r="H30" i="14" s="1"/>
  <c r="J30" i="14" s="1"/>
  <c r="O30" i="14" s="1"/>
  <c r="G29" i="14"/>
  <c r="I29" i="14" s="1"/>
  <c r="K29" i="14" s="1"/>
  <c r="P29" i="14" s="1"/>
  <c r="F29" i="14"/>
  <c r="H29" i="14" s="1"/>
  <c r="J29" i="14" s="1"/>
  <c r="O29" i="14" s="1"/>
  <c r="G28" i="14"/>
  <c r="I28" i="14" s="1"/>
  <c r="K28" i="14" s="1"/>
  <c r="F28" i="14"/>
  <c r="H28" i="14" s="1"/>
  <c r="J28" i="14" s="1"/>
  <c r="G27" i="14"/>
  <c r="I27" i="14" s="1"/>
  <c r="K27" i="14" s="1"/>
  <c r="P27" i="14" s="1"/>
  <c r="F27" i="14"/>
  <c r="H27" i="14" s="1"/>
  <c r="J27" i="14" s="1"/>
  <c r="L27" i="14" s="1"/>
  <c r="G26" i="14"/>
  <c r="I26" i="14" s="1"/>
  <c r="K26" i="14" s="1"/>
  <c r="P26" i="14" s="1"/>
  <c r="F26" i="14"/>
  <c r="H26" i="14" s="1"/>
  <c r="J26" i="14" s="1"/>
  <c r="O26" i="14" s="1"/>
  <c r="G25" i="14"/>
  <c r="I25" i="14" s="1"/>
  <c r="K25" i="14" s="1"/>
  <c r="F25" i="14"/>
  <c r="H25" i="14" s="1"/>
  <c r="J25" i="14" s="1"/>
  <c r="L25" i="14" s="1"/>
  <c r="G24" i="14"/>
  <c r="I24" i="14" s="1"/>
  <c r="K24" i="14" s="1"/>
  <c r="F24" i="14"/>
  <c r="H24" i="14" s="1"/>
  <c r="J24" i="14" s="1"/>
  <c r="O24" i="14" s="1"/>
  <c r="L113" i="14" l="1"/>
  <c r="O113" i="14"/>
  <c r="L40" i="14"/>
  <c r="L31" i="14"/>
  <c r="L35" i="14"/>
  <c r="L42" i="14"/>
  <c r="L46" i="14"/>
  <c r="L50" i="14"/>
  <c r="L59" i="14"/>
  <c r="L63" i="14"/>
  <c r="L67" i="14"/>
  <c r="L71" i="14"/>
  <c r="L76" i="14"/>
  <c r="L80" i="14"/>
  <c r="L26" i="14"/>
  <c r="L28" i="14"/>
  <c r="L30" i="14"/>
  <c r="L32" i="14"/>
  <c r="L34" i="14"/>
  <c r="L36" i="14"/>
  <c r="L39" i="14"/>
  <c r="L41" i="14"/>
  <c r="L43" i="14"/>
  <c r="L45" i="14"/>
  <c r="L47" i="14"/>
  <c r="L49" i="14"/>
  <c r="L52" i="14"/>
  <c r="L54" i="14"/>
  <c r="L56" i="14"/>
  <c r="L58" i="14"/>
  <c r="L60" i="14"/>
  <c r="L62" i="14"/>
  <c r="L64" i="14"/>
  <c r="L66" i="14"/>
  <c r="L68" i="14"/>
  <c r="L70" i="14"/>
  <c r="L72" i="14"/>
  <c r="L75" i="14"/>
  <c r="L77" i="14"/>
  <c r="L79" i="14"/>
  <c r="L81" i="14"/>
  <c r="L83" i="14"/>
  <c r="L85" i="14"/>
  <c r="L87" i="14"/>
  <c r="L89" i="14"/>
  <c r="L92" i="14"/>
  <c r="L94" i="14"/>
  <c r="L96" i="14"/>
  <c r="L98" i="14"/>
  <c r="L100" i="14"/>
  <c r="L102" i="14"/>
  <c r="L104" i="14"/>
  <c r="L106" i="14"/>
  <c r="L108" i="14"/>
  <c r="L110" i="14"/>
  <c r="L112" i="14"/>
  <c r="L24" i="14"/>
  <c r="L29" i="14"/>
  <c r="L33" i="14"/>
  <c r="L44" i="14"/>
  <c r="L48" i="14"/>
  <c r="L61" i="14"/>
  <c r="L65" i="14"/>
  <c r="L69" i="14"/>
  <c r="L78" i="14"/>
  <c r="L82" i="14"/>
  <c r="L84" i="14"/>
  <c r="L86" i="14"/>
  <c r="L88" i="14"/>
  <c r="L93" i="14"/>
  <c r="L95" i="14"/>
  <c r="L97" i="14"/>
  <c r="L99" i="14"/>
  <c r="L101" i="14"/>
  <c r="L103" i="14"/>
  <c r="L105" i="14"/>
  <c r="L107" i="14"/>
  <c r="L109" i="14"/>
  <c r="L111" i="14"/>
  <c r="S133" i="14"/>
  <c r="AD125" i="14" s="1"/>
  <c r="S132" i="14"/>
  <c r="AD124" i="14" s="1"/>
  <c r="S131" i="14"/>
  <c r="AD123" i="14" s="1"/>
  <c r="S128" i="14"/>
  <c r="AD121" i="14" s="1"/>
  <c r="U113" i="14"/>
  <c r="AC133" i="14" s="1"/>
  <c r="T113" i="14"/>
  <c r="AC129" i="14" s="1"/>
  <c r="S113" i="14"/>
  <c r="AC125" i="14" s="1"/>
  <c r="U112" i="14"/>
  <c r="AC132" i="14" s="1"/>
  <c r="T112" i="14"/>
  <c r="AC128" i="14" s="1"/>
  <c r="S112" i="14"/>
  <c r="AC124" i="14" s="1"/>
  <c r="U111" i="14"/>
  <c r="AC131" i="14" s="1"/>
  <c r="T111" i="14"/>
  <c r="AC127" i="14" s="1"/>
  <c r="S111" i="14"/>
  <c r="AC123" i="14" s="1"/>
  <c r="S108" i="14"/>
  <c r="AC121" i="14" s="1"/>
  <c r="U89" i="14"/>
  <c r="AB133" i="14" s="1"/>
  <c r="T89" i="14"/>
  <c r="AB129" i="14" s="1"/>
  <c r="S89" i="14"/>
  <c r="AB125" i="14" s="1"/>
  <c r="U88" i="14"/>
  <c r="AB132" i="14" s="1"/>
  <c r="T88" i="14"/>
  <c r="AB128" i="14" s="1"/>
  <c r="S88" i="14"/>
  <c r="AB124" i="14" s="1"/>
  <c r="U87" i="14"/>
  <c r="AB131" i="14" s="1"/>
  <c r="T87" i="14"/>
  <c r="AB127" i="14" s="1"/>
  <c r="S87" i="14"/>
  <c r="AB123" i="14" s="1"/>
  <c r="S84" i="14"/>
  <c r="AB121" i="14" s="1"/>
  <c r="U72" i="14"/>
  <c r="AA133" i="14" s="1"/>
  <c r="T72" i="14"/>
  <c r="AA129" i="14" s="1"/>
  <c r="S72" i="14"/>
  <c r="AA125" i="14" s="1"/>
  <c r="U71" i="14"/>
  <c r="AA132" i="14" s="1"/>
  <c r="T71" i="14"/>
  <c r="AA128" i="14" s="1"/>
  <c r="S71" i="14"/>
  <c r="AA124" i="14" s="1"/>
  <c r="U70" i="14"/>
  <c r="AA131" i="14" s="1"/>
  <c r="T70" i="14"/>
  <c r="AA127" i="14" s="1"/>
  <c r="S70" i="14"/>
  <c r="AA123" i="14" s="1"/>
  <c r="S67" i="14"/>
  <c r="AA121" i="14" s="1"/>
  <c r="U50" i="14"/>
  <c r="Z133" i="14" s="1"/>
  <c r="T50" i="14"/>
  <c r="Z129" i="14" s="1"/>
  <c r="S50" i="14"/>
  <c r="Z125" i="14" s="1"/>
  <c r="U49" i="14"/>
  <c r="Z132" i="14" s="1"/>
  <c r="T49" i="14"/>
  <c r="Z128" i="14" s="1"/>
  <c r="S49" i="14"/>
  <c r="Z124" i="14" s="1"/>
  <c r="U48" i="14"/>
  <c r="Z131" i="14" s="1"/>
  <c r="T48" i="14"/>
  <c r="Z127" i="14" s="1"/>
  <c r="S48" i="14"/>
  <c r="Z123" i="14" s="1"/>
  <c r="S45" i="14"/>
  <c r="Z121" i="14" s="1"/>
  <c r="U36" i="14"/>
  <c r="Y133" i="14" s="1"/>
  <c r="T36" i="14"/>
  <c r="Y129" i="14" s="1"/>
  <c r="S36" i="14"/>
  <c r="Y125" i="14" s="1"/>
  <c r="U35" i="14"/>
  <c r="Y132" i="14" s="1"/>
  <c r="T35" i="14"/>
  <c r="Y128" i="14" s="1"/>
  <c r="S35" i="14"/>
  <c r="Y124" i="14" s="1"/>
  <c r="U34" i="14"/>
  <c r="Y131" i="14" s="1"/>
  <c r="T34" i="14"/>
  <c r="Y127" i="14" s="1"/>
  <c r="S34" i="14"/>
  <c r="Y123" i="14" s="1"/>
  <c r="S31" i="14"/>
  <c r="Y121" i="14" s="1"/>
  <c r="S19" i="14"/>
  <c r="X125" i="14" s="1"/>
  <c r="S18" i="14"/>
  <c r="X124" i="14" s="1"/>
  <c r="S17" i="14"/>
  <c r="X123" i="14" s="1"/>
  <c r="S14" i="14"/>
  <c r="X121" i="14" s="1"/>
  <c r="M89" i="14" l="1"/>
  <c r="M113" i="14"/>
  <c r="M50" i="14"/>
  <c r="M36" i="14"/>
  <c r="M72" i="14"/>
  <c r="AF124" i="14"/>
  <c r="AF121" i="14"/>
  <c r="H8" i="13" s="1"/>
  <c r="AF123" i="14"/>
  <c r="AF125" i="14"/>
  <c r="AH123" i="14"/>
  <c r="AG123" i="14"/>
  <c r="AE123" i="14"/>
  <c r="AE127" i="14"/>
  <c r="AH127" i="14"/>
  <c r="AF127" i="14"/>
  <c r="AG127" i="14"/>
  <c r="AG128" i="14"/>
  <c r="AF128" i="14"/>
  <c r="AE128" i="14"/>
  <c r="AH128" i="14"/>
  <c r="AF129" i="14"/>
  <c r="AE124" i="14"/>
  <c r="AH124" i="14"/>
  <c r="AG124" i="14"/>
  <c r="AH131" i="14"/>
  <c r="AF131" i="14"/>
  <c r="AG131" i="14"/>
  <c r="AE131" i="14"/>
  <c r="AH133" i="14"/>
  <c r="AF133" i="14"/>
  <c r="AG133" i="14"/>
  <c r="AE133" i="14"/>
  <c r="AF132" i="14"/>
  <c r="AE125" i="14"/>
  <c r="AH125" i="14"/>
  <c r="AG125" i="14"/>
  <c r="AG121" i="14"/>
  <c r="AE121" i="14"/>
  <c r="AH121" i="14"/>
  <c r="AH129" i="14"/>
  <c r="AH132" i="14"/>
  <c r="AG129" i="14"/>
  <c r="AG132" i="14"/>
  <c r="AE129" i="14"/>
  <c r="AE132" i="14"/>
  <c r="N113" i="14" l="1"/>
  <c r="I8" i="13" s="1"/>
  <c r="D5" i="12"/>
  <c r="D6" i="12" s="1"/>
  <c r="D7" i="12" s="1"/>
  <c r="D8" i="12" s="1"/>
  <c r="D9" i="12" s="1"/>
  <c r="D10" i="12" s="1"/>
  <c r="D11" i="12" s="1"/>
  <c r="D12" i="12" s="1"/>
  <c r="D13" i="12" s="1"/>
  <c r="D14" i="12" s="1"/>
  <c r="D15" i="12" s="1"/>
  <c r="D16" i="12" s="1"/>
  <c r="D17" i="12" s="1"/>
  <c r="D18" i="12" s="1"/>
  <c r="D19" i="12" s="1"/>
  <c r="D20" i="12" s="1"/>
  <c r="D21" i="12" s="1"/>
  <c r="D22" i="12" s="1"/>
  <c r="D23" i="12" s="1"/>
  <c r="D24" i="12" s="1"/>
  <c r="D25" i="12" s="1"/>
  <c r="D26" i="12" s="1"/>
  <c r="D27" i="12" s="1"/>
  <c r="D28" i="12" s="1"/>
  <c r="D29" i="12" s="1"/>
  <c r="D30" i="12" s="1"/>
  <c r="D31" i="12" s="1"/>
  <c r="D32" i="12" s="1"/>
  <c r="D33" i="12" s="1"/>
  <c r="D34" i="12" s="1"/>
  <c r="D35" i="12" s="1"/>
  <c r="D36" i="12" s="1"/>
  <c r="D5" i="13"/>
  <c r="H16" i="13"/>
  <c r="H14" i="13"/>
  <c r="H12" i="13"/>
  <c r="H10" i="13"/>
  <c r="H6" i="13"/>
  <c r="G10" i="13" l="1"/>
  <c r="G12" i="13" l="1"/>
  <c r="G14" i="13" s="1"/>
  <c r="G16" i="13" s="1"/>
  <c r="D7" i="13"/>
  <c r="G8" i="13"/>
  <c r="I10" i="13" s="1"/>
  <c r="I14" i="13" l="1"/>
  <c r="I12" i="13"/>
  <c r="E4" i="12" s="1"/>
  <c r="I16" i="13"/>
  <c r="E26" i="12" l="1"/>
  <c r="E11" i="12"/>
  <c r="D19" i="1"/>
  <c r="D20" i="1"/>
  <c r="D18" i="1"/>
  <c r="E33" i="12" l="1"/>
  <c r="E29" i="12"/>
  <c r="E13" i="12"/>
  <c r="E17" i="12"/>
  <c r="E21" i="12"/>
  <c r="E25" i="12"/>
  <c r="E36" i="12"/>
  <c r="E32" i="12"/>
  <c r="E28" i="12"/>
  <c r="E14" i="12"/>
  <c r="E18" i="12"/>
  <c r="E22" i="12"/>
  <c r="E35" i="12"/>
  <c r="E27" i="12"/>
  <c r="E15" i="12"/>
  <c r="E19" i="12"/>
  <c r="E23" i="12"/>
  <c r="E24" i="12"/>
  <c r="E31" i="12"/>
  <c r="E34" i="12"/>
  <c r="E30" i="12"/>
  <c r="E12" i="12"/>
  <c r="E16" i="12"/>
  <c r="E20" i="12"/>
  <c r="E10" i="12"/>
  <c r="E7" i="12"/>
  <c r="E5" i="12"/>
  <c r="E8" i="12"/>
  <c r="E6" i="12"/>
  <c r="E9" i="12"/>
  <c r="C21" i="2" l="1"/>
  <c r="B18" i="5" s="1"/>
  <c r="E17" i="5" s="1"/>
  <c r="H10" i="5" s="1"/>
  <c r="C22" i="2"/>
  <c r="B19" i="5"/>
  <c r="E18" i="5" s="1"/>
  <c r="G4" i="7"/>
  <c r="G4" i="5"/>
  <c r="G5" i="5" s="1"/>
  <c r="G6" i="5" s="1"/>
  <c r="G7" i="5" s="1"/>
  <c r="G8" i="5" s="1"/>
  <c r="G9" i="5" s="1"/>
  <c r="G10" i="5" s="1"/>
  <c r="G11" i="5" s="1"/>
  <c r="G12" i="5" s="1"/>
  <c r="G13" i="5" s="1"/>
  <c r="G14" i="5" s="1"/>
  <c r="H4" i="7"/>
  <c r="I4" i="7" s="1"/>
  <c r="B18" i="7"/>
  <c r="G5" i="7"/>
  <c r="H5" i="7"/>
  <c r="I5" i="7" s="1"/>
  <c r="G6" i="7"/>
  <c r="G7" i="7" s="1"/>
  <c r="B17" i="7"/>
  <c r="B16" i="7"/>
  <c r="E17" i="7"/>
  <c r="O6" i="4"/>
  <c r="K6" i="4"/>
  <c r="I6" i="4"/>
  <c r="B5" i="4"/>
  <c r="C5" i="4"/>
  <c r="D5" i="4"/>
  <c r="E5" i="4"/>
  <c r="F5" i="4"/>
  <c r="P5" i="4" s="1"/>
  <c r="C8" i="2" s="1"/>
  <c r="G5" i="4"/>
  <c r="H5" i="4"/>
  <c r="B6" i="4"/>
  <c r="C6" i="4"/>
  <c r="D6" i="4"/>
  <c r="E6" i="4"/>
  <c r="F6" i="4"/>
  <c r="G6" i="4"/>
  <c r="H6" i="4"/>
  <c r="J5" i="4"/>
  <c r="K5" i="4"/>
  <c r="L5" i="4"/>
  <c r="M5" i="4"/>
  <c r="N5" i="4"/>
  <c r="I5" i="4"/>
  <c r="J6" i="4"/>
  <c r="L6" i="4"/>
  <c r="M6" i="4"/>
  <c r="N6" i="4"/>
  <c r="D12" i="1"/>
  <c r="E11" i="1" s="1"/>
  <c r="E6" i="1"/>
  <c r="H7" i="7" l="1"/>
  <c r="I7" i="7" s="1"/>
  <c r="G8" i="7"/>
  <c r="D5" i="6"/>
  <c r="C20" i="2" s="1"/>
  <c r="B21" i="5" s="1"/>
  <c r="F8" i="9"/>
  <c r="F5" i="9"/>
  <c r="F9" i="9"/>
  <c r="F7" i="9"/>
  <c r="F6" i="9"/>
  <c r="F10" i="9"/>
  <c r="C11" i="2" s="1"/>
  <c r="J14" i="5"/>
  <c r="G15" i="5"/>
  <c r="H14" i="5"/>
  <c r="E4" i="1"/>
  <c r="H5" i="1" s="1"/>
  <c r="E9" i="1"/>
  <c r="H6" i="7"/>
  <c r="I6" i="7" s="1"/>
  <c r="E10" i="1"/>
  <c r="E5" i="1"/>
  <c r="H4" i="1" s="1"/>
  <c r="E8" i="1"/>
  <c r="H6" i="1" s="1"/>
  <c r="E7" i="1"/>
  <c r="E12" i="1"/>
  <c r="H6" i="5"/>
  <c r="H11" i="5"/>
  <c r="D4" i="6"/>
  <c r="C19" i="2" s="1"/>
  <c r="B20" i="5" s="1"/>
  <c r="K14" i="5"/>
  <c r="J5" i="5"/>
  <c r="K5" i="5" s="1"/>
  <c r="J13" i="5"/>
  <c r="K13" i="5" s="1"/>
  <c r="J11" i="5"/>
  <c r="K11" i="5" s="1"/>
  <c r="J10" i="5"/>
  <c r="K10" i="5" s="1"/>
  <c r="J9" i="5"/>
  <c r="K9" i="5" s="1"/>
  <c r="J4" i="5"/>
  <c r="K4" i="5" s="1"/>
  <c r="J12" i="5"/>
  <c r="K12" i="5" s="1"/>
  <c r="J8" i="5"/>
  <c r="K8" i="5" s="1"/>
  <c r="J7" i="5"/>
  <c r="K7" i="5" s="1"/>
  <c r="J6" i="5"/>
  <c r="K6" i="5" s="1"/>
  <c r="H12" i="5"/>
  <c r="H4" i="5"/>
  <c r="H13" i="5"/>
  <c r="H5" i="5"/>
  <c r="D21" i="1"/>
  <c r="C15" i="2" s="1"/>
  <c r="B6" i="12" s="1"/>
  <c r="H7" i="5"/>
  <c r="H8" i="5"/>
  <c r="H9" i="5"/>
  <c r="H15" i="5" l="1"/>
  <c r="I15" i="5" s="1"/>
  <c r="J15" i="5"/>
  <c r="K15" i="5" s="1"/>
  <c r="G16" i="5"/>
  <c r="H7" i="1"/>
  <c r="C21" i="1"/>
  <c r="H8" i="7"/>
  <c r="I8" i="7" s="1"/>
  <c r="G9" i="7"/>
  <c r="G8" i="12"/>
  <c r="G7" i="12"/>
  <c r="H7" i="12" s="1"/>
  <c r="G6" i="12"/>
  <c r="H6" i="12" s="1"/>
  <c r="G4" i="12"/>
  <c r="H4" i="12" s="1"/>
  <c r="G5" i="12"/>
  <c r="H5" i="12" s="1"/>
  <c r="I13" i="5"/>
  <c r="I7" i="5"/>
  <c r="I8" i="5"/>
  <c r="I10" i="5"/>
  <c r="I9" i="5"/>
  <c r="I14" i="5"/>
  <c r="I12" i="5"/>
  <c r="I5" i="5"/>
  <c r="I6" i="5"/>
  <c r="I11" i="5"/>
  <c r="B19" i="7"/>
  <c r="I4" i="5"/>
  <c r="I9" i="7" l="1"/>
  <c r="G10" i="7"/>
  <c r="H9" i="7"/>
  <c r="H16" i="5"/>
  <c r="J16" i="5"/>
  <c r="K16" i="5" s="1"/>
  <c r="G17" i="5"/>
  <c r="H8" i="12"/>
  <c r="G9" i="12"/>
  <c r="J9" i="7"/>
  <c r="J7" i="7"/>
  <c r="J6" i="7"/>
  <c r="J5" i="7"/>
  <c r="J8" i="7"/>
  <c r="J4" i="7"/>
  <c r="I16" i="5" l="1"/>
  <c r="H17" i="5"/>
  <c r="I17" i="5" s="1"/>
  <c r="J17" i="5"/>
  <c r="K17" i="5" s="1"/>
  <c r="G18" i="5"/>
  <c r="G11" i="7"/>
  <c r="H10" i="7"/>
  <c r="I10" i="7" s="1"/>
  <c r="J10" i="7" s="1"/>
  <c r="H9" i="12"/>
  <c r="G10" i="12"/>
  <c r="B11" i="7"/>
  <c r="B12" i="7" s="1"/>
  <c r="H11" i="7" l="1"/>
  <c r="I11" i="7" s="1"/>
  <c r="J11" i="7" s="1"/>
  <c r="G12" i="7"/>
  <c r="J18" i="5"/>
  <c r="K18" i="5" s="1"/>
  <c r="G19" i="5"/>
  <c r="H18" i="5"/>
  <c r="H10" i="12"/>
  <c r="G11" i="12"/>
  <c r="I18" i="5" l="1"/>
  <c r="H12" i="7"/>
  <c r="I12" i="7"/>
  <c r="J12" i="7" s="1"/>
  <c r="G13" i="7"/>
  <c r="H19" i="5"/>
  <c r="I19" i="5" s="1"/>
  <c r="J19" i="5"/>
  <c r="K19" i="5" s="1"/>
  <c r="G20" i="5"/>
  <c r="H11" i="12"/>
  <c r="G12" i="12"/>
  <c r="G14" i="7" l="1"/>
  <c r="H13" i="7"/>
  <c r="I13" i="7" s="1"/>
  <c r="J13" i="7" s="1"/>
  <c r="H20" i="5"/>
  <c r="I20" i="5" s="1"/>
  <c r="J20" i="5"/>
  <c r="K20" i="5" s="1"/>
  <c r="G21" i="5"/>
  <c r="H12" i="12"/>
  <c r="G13" i="12"/>
  <c r="H21" i="5" l="1"/>
  <c r="J21" i="5"/>
  <c r="K21" i="5" s="1"/>
  <c r="G22" i="5"/>
  <c r="G15" i="7"/>
  <c r="H14" i="7"/>
  <c r="I14" i="7" s="1"/>
  <c r="J14" i="7" s="1"/>
  <c r="H13" i="12"/>
  <c r="G14" i="12"/>
  <c r="H15" i="7" l="1"/>
  <c r="G16" i="7"/>
  <c r="I15" i="7"/>
  <c r="J15" i="7" s="1"/>
  <c r="J22" i="5"/>
  <c r="K22" i="5" s="1"/>
  <c r="G23" i="5"/>
  <c r="H22" i="5"/>
  <c r="I22" i="5" s="1"/>
  <c r="I21" i="5"/>
  <c r="H14" i="12"/>
  <c r="G15" i="12"/>
  <c r="H16" i="7" l="1"/>
  <c r="I16" i="7"/>
  <c r="J16" i="7" s="1"/>
  <c r="G17" i="7"/>
  <c r="H23" i="5"/>
  <c r="J23" i="5"/>
  <c r="K23" i="5" s="1"/>
  <c r="G24" i="5"/>
  <c r="H15" i="12"/>
  <c r="G16" i="12"/>
  <c r="I23" i="5" l="1"/>
  <c r="I17" i="7"/>
  <c r="J17" i="7" s="1"/>
  <c r="G18" i="7"/>
  <c r="H17" i="7"/>
  <c r="H24" i="5"/>
  <c r="I24" i="5" s="1"/>
  <c r="J24" i="5"/>
  <c r="K24" i="5" s="1"/>
  <c r="B11" i="5" s="1"/>
  <c r="B12" i="5" s="1"/>
  <c r="G25" i="5"/>
  <c r="H16" i="12"/>
  <c r="G17" i="12"/>
  <c r="H25" i="5" l="1"/>
  <c r="I25" i="5" s="1"/>
  <c r="J25" i="5"/>
  <c r="K25" i="5" s="1"/>
  <c r="G26" i="5"/>
  <c r="G19" i="7"/>
  <c r="H18" i="7"/>
  <c r="I18" i="7" s="1"/>
  <c r="J18" i="7" s="1"/>
  <c r="H17" i="12"/>
  <c r="G18" i="12"/>
  <c r="H19" i="7" l="1"/>
  <c r="G20" i="7"/>
  <c r="I19" i="7"/>
  <c r="J19" i="7" s="1"/>
  <c r="J26" i="5"/>
  <c r="K26" i="5" s="1"/>
  <c r="G27" i="5"/>
  <c r="H26" i="5"/>
  <c r="I26" i="5" s="1"/>
  <c r="H18" i="12"/>
  <c r="G19" i="12"/>
  <c r="H20" i="7" l="1"/>
  <c r="I20" i="7"/>
  <c r="J20" i="7" s="1"/>
  <c r="G21" i="7"/>
  <c r="H27" i="5"/>
  <c r="I27" i="5" s="1"/>
  <c r="J27" i="5"/>
  <c r="K27" i="5" s="1"/>
  <c r="G28" i="5"/>
  <c r="H19" i="12"/>
  <c r="G20" i="12"/>
  <c r="G22" i="7" l="1"/>
  <c r="H21" i="7"/>
  <c r="I21" i="7" s="1"/>
  <c r="J21" i="7" s="1"/>
  <c r="H28" i="5"/>
  <c r="I28" i="5" s="1"/>
  <c r="J28" i="5"/>
  <c r="K28" i="5" s="1"/>
  <c r="G29" i="5"/>
  <c r="H20" i="12"/>
  <c r="G21" i="12"/>
  <c r="H29" i="5" l="1"/>
  <c r="J29" i="5"/>
  <c r="K29" i="5" s="1"/>
  <c r="G23" i="7"/>
  <c r="I22" i="7"/>
  <c r="J22" i="7" s="1"/>
  <c r="H22" i="7"/>
  <c r="H21" i="12"/>
  <c r="G22" i="12"/>
  <c r="H23" i="7" l="1"/>
  <c r="G24" i="7"/>
  <c r="I23" i="7"/>
  <c r="J23" i="7" s="1"/>
  <c r="I29" i="5"/>
  <c r="B13" i="5"/>
  <c r="H22" i="12"/>
  <c r="G23" i="12"/>
  <c r="H24" i="7" l="1"/>
  <c r="I24" i="7"/>
  <c r="J24" i="7" s="1"/>
  <c r="G25" i="7"/>
  <c r="H23" i="12"/>
  <c r="G24" i="12"/>
  <c r="G26" i="7" l="1"/>
  <c r="H25" i="7"/>
  <c r="I25" i="7" s="1"/>
  <c r="J25" i="7" s="1"/>
  <c r="H24" i="12"/>
  <c r="G25" i="12"/>
  <c r="G27" i="7" l="1"/>
  <c r="H26" i="7"/>
  <c r="I26" i="7" s="1"/>
  <c r="J26" i="7" s="1"/>
  <c r="H25" i="12"/>
  <c r="G26" i="12"/>
  <c r="H27" i="7" l="1"/>
  <c r="G28" i="7"/>
  <c r="I27" i="7"/>
  <c r="J27" i="7" s="1"/>
  <c r="H26" i="12"/>
  <c r="G27" i="12"/>
  <c r="H28" i="7" l="1"/>
  <c r="I28" i="7"/>
  <c r="J28" i="7" s="1"/>
  <c r="G29" i="7"/>
  <c r="H27" i="12"/>
  <c r="G28" i="12"/>
  <c r="H29" i="7" l="1"/>
  <c r="I29" i="7" s="1"/>
  <c r="J29" i="7" s="1"/>
  <c r="H28" i="12"/>
  <c r="G29" i="12"/>
  <c r="G30" i="12" l="1"/>
  <c r="H29" i="12"/>
  <c r="B17" i="11" s="1"/>
  <c r="G32" i="12" l="1"/>
  <c r="B18" i="11"/>
  <c r="H30" i="12"/>
  <c r="G31" i="12"/>
  <c r="G33" i="12" l="1"/>
  <c r="H31" i="12"/>
  <c r="G34" i="12" l="1"/>
  <c r="H32" i="12"/>
  <c r="G35" i="12" l="1"/>
  <c r="H33" i="12"/>
  <c r="G36" i="12" l="1"/>
  <c r="H34" i="12"/>
  <c r="H35" i="12" l="1"/>
  <c r="H36" i="12"/>
  <c r="H38" i="12" l="1"/>
</calcChain>
</file>

<file path=xl/sharedStrings.xml><?xml version="1.0" encoding="utf-8"?>
<sst xmlns="http://schemas.openxmlformats.org/spreadsheetml/2006/main" count="380" uniqueCount="188">
  <si>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</si>
  <si>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</si>
  <si>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</si>
  <si>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</si>
  <si>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</si>
  <si>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</si>
  <si>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</si>
  <si>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</si>
  <si>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</si>
  <si>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</si>
  <si>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</si>
  <si>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</si>
  <si>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</si>
  <si>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</si>
  <si>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</si>
  <si>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</si>
  <si>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</si>
  <si>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</si>
  <si>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</si>
  <si>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</si>
  <si>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</si>
  <si>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</si>
  <si>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</si>
  <si>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</si>
  <si>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</si>
  <si>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</si>
  <si>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</si>
  <si>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</si>
  <si>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</si>
  <si>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</si>
  <si>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</si>
  <si>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</si>
  <si>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</si>
  <si>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</si>
  <si>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</si>
  <si>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</si>
  <si>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</si>
  <si>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</si>
  <si>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</si>
  <si>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</si>
  <si>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</si>
  <si>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</si>
  <si>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</si>
  <si>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</si>
  <si>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</si>
  <si>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</si>
  <si>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</si>
  <si>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</si>
  <si>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</si>
  <si>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</si>
  <si>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</si>
  <si>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</si>
  <si>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</si>
  <si>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</si>
  <si>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</si>
  <si>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</si>
  <si>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</si>
  <si>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</si>
  <si>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</si>
  <si>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</si>
  <si>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</si>
  <si>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</si>
  <si>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</si>
  <si>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</si>
  <si>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</si>
  <si>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</si>
  <si>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</si>
  <si>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</si>
  <si>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</si>
  <si>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2040 Volume</t>
  </si>
  <si>
    <t>2040 Capacity</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</si>
  <si>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</si>
  <si>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</si>
  <si>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</si>
  <si>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</si>
  <si>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</si>
  <si>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</si>
  <si>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</si>
  <si>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</si>
  <si>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</si>
  <si>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</si>
  <si>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</si>
  <si>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</si>
  <si>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</si>
  <si>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</si>
  <si>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</si>
  <si>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</si>
  <si>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</si>
  <si>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Value of Delay Savings (2015 $, '000s)</t>
  </si>
  <si>
    <t>Years to include in BCA Analysis</t>
  </si>
  <si>
    <t>Discounted Delay Benefits @ 7% (2015 $, '000s)</t>
  </si>
  <si>
    <t>Discounted Delay Benefits @ 3% (2015 $, '000s)</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</si>
  <si>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</si>
  <si>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</si>
  <si>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</si>
  <si>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</si>
  <si>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</si>
  <si>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</si>
  <si>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</si>
  <si>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</si>
  <si>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</si>
  <si>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</si>
  <si>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</si>
  <si>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</si>
  <si>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</si>
  <si>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</si>
  <si>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</si>
  <si>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</si>
  <si>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</si>
  <si>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</si>
  <si>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</si>
  <si>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</si>
  <si>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</si>
  <si>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2025 Volume</t>
  </si>
  <si>
    <t>2025 Capacity</t>
  </si>
  <si>
    <t>Application ID Number:</t>
  </si>
  <si>
    <t>Sponsor ID Number (CSJ, etc.):</t>
  </si>
  <si>
    <t>Daily Travel Demand</t>
  </si>
  <si>
    <t>Use in Analysis?</t>
  </si>
  <si>
    <t>2018 Volume</t>
  </si>
  <si>
    <t>2018 Capacity</t>
  </si>
  <si>
    <t>2018 VHT</t>
  </si>
  <si>
    <t>Real wage growth rate</t>
  </si>
  <si>
    <t>Value of Time (Real, 2015$)</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</si>
  <si>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</si>
  <si>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</si>
  <si>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</si>
  <si>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</si>
  <si>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</si>
  <si>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</si>
  <si>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INPUTS</t>
  </si>
  <si>
    <t>OUTPUTS</t>
  </si>
  <si>
    <r>
      <t xml:space="preserve">Year Open to Traffic? </t>
    </r>
    <r>
      <rPr>
        <b/>
        <sz val="11"/>
        <color theme="1"/>
        <rFont val="Calibri"/>
        <family val="2"/>
        <scheme val="minor"/>
      </rPr>
      <t>(Must be &gt;=2018)</t>
    </r>
  </si>
  <si>
    <t>Federal Road Alternate Evacuation Route</t>
  </si>
  <si>
    <t>CSJ: 0912-72-336</t>
  </si>
  <si>
    <t>Model Volume</t>
  </si>
  <si>
    <t>(backcast)</t>
  </si>
  <si>
    <t>AADT</t>
  </si>
  <si>
    <t>Annual Delay (hrs)</t>
  </si>
  <si>
    <t xml:space="preserve"> </t>
  </si>
  <si>
    <t>Trains Per Weekday</t>
  </si>
  <si>
    <t>source:</t>
  </si>
  <si>
    <t>H-GAC</t>
  </si>
  <si>
    <t xml:space="preserve"> computed</t>
  </si>
  <si>
    <t>Harris County [1]</t>
  </si>
  <si>
    <t>Harris County [2]</t>
  </si>
  <si>
    <t>[1]</t>
  </si>
  <si>
    <t>[2]</t>
  </si>
  <si>
    <t>http://www.eng.hctx.net/traffic/hc_counts.pdf</t>
  </si>
  <si>
    <t>20-Year Total Delay Benefit</t>
  </si>
  <si>
    <t>Duration</t>
  </si>
  <si>
    <t>Sunday</t>
  </si>
  <si>
    <t>COUNT</t>
  </si>
  <si>
    <t>AVERAGE</t>
  </si>
  <si>
    <t>MAX</t>
  </si>
  <si>
    <t>MIN</t>
  </si>
  <si>
    <t>Queue (ft)</t>
  </si>
  <si>
    <t>NB</t>
  </si>
  <si>
    <t>SB</t>
  </si>
  <si>
    <t>Monday</t>
  </si>
  <si>
    <t xml:space="preserve"> - SB exceeded 3000 ft</t>
  </si>
  <si>
    <t>Tuesday</t>
  </si>
  <si>
    <t>Wednesday</t>
  </si>
  <si>
    <t>Thursday</t>
  </si>
  <si>
    <t>Friday</t>
  </si>
  <si>
    <t>Saturday</t>
  </si>
  <si>
    <t>5-DAY AVG</t>
  </si>
  <si>
    <t xml:space="preserve">  </t>
  </si>
  <si>
    <t>OVERALL SUMMARY TABLE</t>
  </si>
  <si>
    <r>
      <rPr>
        <sz val="11"/>
        <rFont val="Calibri"/>
        <family val="2"/>
        <scheme val="minor"/>
      </rPr>
      <t>2004 data point:</t>
    </r>
    <r>
      <rPr>
        <sz val="11"/>
        <color theme="4" tint="-0.249977111117893"/>
        <rFont val="Calibri"/>
        <family val="2"/>
        <scheme val="minor"/>
      </rPr>
      <t xml:space="preserve">  http://www.eng.hctx.net/pdf/freight_report_old.pdf</t>
    </r>
  </si>
  <si>
    <t>Gate Arm Observations from TEDSI Infrastructure Group letter to Mr. E. Loyd Smith, Jr, PE  dated 6/13/14</t>
  </si>
  <si>
    <t>2014 data point is from TEDSI memo re. gate arm observations</t>
  </si>
  <si>
    <t>Arrival Rate (veh/min)</t>
  </si>
  <si>
    <t xml:space="preserve">Minutes Closed </t>
  </si>
  <si>
    <t>Queue (veh)</t>
  </si>
  <si>
    <t>q</t>
  </si>
  <si>
    <t>V</t>
  </si>
  <si>
    <t>Total Delay</t>
  </si>
  <si>
    <t>NB (min)</t>
  </si>
  <si>
    <t>SB (min)</t>
  </si>
  <si>
    <t>NB Queue (ft)</t>
  </si>
  <si>
    <t>SB Queue (ft)</t>
  </si>
  <si>
    <r>
      <rPr>
        <b/>
        <sz val="14"/>
        <rFont val="Calibri"/>
        <family val="2"/>
        <scheme val="minor"/>
      </rPr>
      <t>T</t>
    </r>
    <r>
      <rPr>
        <b/>
        <sz val="8"/>
        <rFont val="Calibri"/>
        <family val="2"/>
        <scheme val="minor"/>
      </rPr>
      <t>G</t>
    </r>
  </si>
  <si>
    <r>
      <rPr>
        <b/>
        <sz val="11"/>
        <rFont val="Symbol"/>
        <family val="1"/>
        <charset val="2"/>
      </rPr>
      <t>S</t>
    </r>
    <r>
      <rPr>
        <b/>
        <sz val="11"/>
        <rFont val="Calibri"/>
        <family val="2"/>
        <scheme val="minor"/>
      </rPr>
      <t xml:space="preserve"> (hours)</t>
    </r>
  </si>
  <si>
    <t>Weekday Average (Hrs)</t>
  </si>
  <si>
    <t>Back Check</t>
  </si>
  <si>
    <t>Avg Delay (min) / Vehicle</t>
  </si>
  <si>
    <t>Total Project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</si>
</sst>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
      <b/>
      <sz val="14"/>
      <color theme="1"/>
      <name val="Calibri"/>
      <family val="2"/>
      <scheme val="minor"/>
    </font>
    <font>
      <b/>
      <i/>
      <sz val="11"/>
      <color theme="0"/>
      <name val="Calibri"/>
      <family val="2"/>
      <scheme val="minor"/>
    </font>
    <font>
      <sz val="11"/>
      <color rgb="FFFF0000"/>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theme="4" tint="-0.249977111117893"/>
      <name val="Calibri"/>
      <family val="2"/>
      <scheme val="minor"/>
    </font>
    <font>
      <sz val="16"/>
      <color theme="1"/>
      <name val="Calibri"/>
      <family val="2"/>
      <scheme val="minor"/>
    </font>
    <font>
      <b/>
      <sz val="14"/>
      <name val="Calibri"/>
      <family val="2"/>
      <scheme val="minor"/>
    </font>
    <font>
      <b/>
      <sz val="8"/>
      <name val="Calibri"/>
      <family val="2"/>
      <scheme val="minor"/>
    </font>
    <font>
      <b/>
      <sz val="11"/>
      <name val="Symbol"/>
      <family val="1"/>
      <charset val="2"/>
    </font>
  </fonts>
  <fills count="2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mediumGray">
        <bgColor theme="4" tint="0.79998168889431442"/>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7" tint="0.59999389629810485"/>
        <bgColor theme="8" tint="0.59999389629810485"/>
      </patternFill>
    </fill>
    <fill>
      <patternFill patternType="solid">
        <fgColor theme="5" tint="0.59999389629810485"/>
        <bgColor theme="8" tint="0.79998168889431442"/>
      </patternFill>
    </fill>
    <fill>
      <patternFill patternType="solid">
        <fgColor theme="4" tint="0.39997558519241921"/>
        <bgColor indexed="64"/>
      </patternFill>
    </fill>
    <fill>
      <patternFill patternType="solid">
        <fgColor theme="9" tint="-0.249977111117893"/>
        <bgColor indexed="64"/>
      </patternFill>
    </fill>
    <fill>
      <patternFill patternType="solid">
        <fgColor rgb="FFFFFF00"/>
        <bgColor theme="8" tint="0.79998168889431442"/>
      </patternFill>
    </fill>
    <fill>
      <patternFill patternType="solid">
        <fgColor rgb="FFFFFF00"/>
        <bgColor theme="8" tint="0.59999389629810485"/>
      </patternFill>
    </fill>
    <fill>
      <patternFill patternType="solid">
        <fgColor theme="6" tint="0.59999389629810485"/>
        <bgColor indexed="64"/>
      </patternFill>
    </fill>
    <fill>
      <patternFill patternType="solid">
        <fgColor theme="5" tint="0.79998168889431442"/>
        <bgColor theme="8" tint="0.79998168889431442"/>
      </patternFill>
    </fill>
    <fill>
      <patternFill patternType="solid">
        <fgColor theme="9"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rgb="FF66FFFF"/>
        <bgColor indexed="64"/>
      </patternFill>
    </fill>
    <fill>
      <patternFill patternType="solid">
        <fgColor rgb="FF66CC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250">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6" borderId="1" xfId="0" applyFill="1" applyBorder="1"/>
    <xf numFmtId="0" fontId="2" fillId="7" borderId="1" xfId="0" applyFont="1" applyFill="1" applyBorder="1"/>
    <xf numFmtId="0" fontId="0" fillId="8" borderId="1" xfId="0" applyFont="1" applyFill="1" applyBorder="1" applyAlignment="1">
      <alignment horizontal="center"/>
    </xf>
    <xf numFmtId="0" fontId="0" fillId="10" borderId="1" xfId="0" applyFont="1" applyFill="1" applyBorder="1" applyAlignment="1">
      <alignment horizontal="center"/>
    </xf>
    <xf numFmtId="0" fontId="2" fillId="11" borderId="1" xfId="0" applyFont="1" applyFill="1" applyBorder="1" applyAlignment="1">
      <alignment horizontal="center"/>
    </xf>
    <xf numFmtId="0" fontId="2" fillId="11" borderId="1" xfId="0" applyFont="1" applyFill="1" applyBorder="1" applyAlignment="1">
      <alignment horizontal="left"/>
    </xf>
    <xf numFmtId="0" fontId="0" fillId="13" borderId="1" xfId="0" applyFill="1" applyBorder="1"/>
    <xf numFmtId="9" fontId="0" fillId="13" borderId="1" xfId="0" applyNumberFormat="1" applyFill="1" applyBorder="1"/>
    <xf numFmtId="165" fontId="0" fillId="13" borderId="1" xfId="0" applyNumberFormat="1" applyFill="1" applyBorder="1"/>
    <xf numFmtId="0" fontId="0" fillId="13" borderId="2" xfId="0" applyFill="1" applyBorder="1"/>
    <xf numFmtId="3" fontId="0" fillId="13" borderId="3" xfId="0" applyNumberFormat="1" applyFill="1" applyBorder="1"/>
    <xf numFmtId="3" fontId="0" fillId="14" borderId="1" xfId="0" applyNumberFormat="1" applyFont="1" applyFill="1" applyBorder="1" applyAlignment="1" applyProtection="1">
      <alignment horizontal="center"/>
      <protection locked="0"/>
    </xf>
    <xf numFmtId="3" fontId="0" fillId="15"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1" borderId="1" xfId="0" applyFont="1" applyFill="1" applyBorder="1" applyAlignment="1">
      <alignment horizontal="center"/>
    </xf>
    <xf numFmtId="0" fontId="0" fillId="5" borderId="4" xfId="0" applyFill="1" applyBorder="1"/>
    <xf numFmtId="0" fontId="0" fillId="0" borderId="0" xfId="0" applyAlignment="1">
      <alignment vertical="top"/>
    </xf>
    <xf numFmtId="0" fontId="0" fillId="13"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2" borderId="1" xfId="0" applyFont="1" applyFill="1" applyBorder="1"/>
    <xf numFmtId="169" fontId="0" fillId="13" borderId="3" xfId="0" applyNumberFormat="1" applyFill="1" applyBorder="1"/>
    <xf numFmtId="165" fontId="0" fillId="8" borderId="1" xfId="2" applyNumberFormat="1" applyFont="1" applyFill="1" applyBorder="1" applyAlignment="1">
      <alignment horizontal="center"/>
    </xf>
    <xf numFmtId="166" fontId="0" fillId="13" borderId="1" xfId="0" applyNumberFormat="1" applyFill="1" applyBorder="1"/>
    <xf numFmtId="165" fontId="0" fillId="8" borderId="1" xfId="2" applyNumberFormat="1" applyFont="1" applyFill="1" applyBorder="1" applyAlignment="1" applyProtection="1">
      <alignment horizontal="center"/>
    </xf>
    <xf numFmtId="168" fontId="0" fillId="14" borderId="1" xfId="0" applyNumberFormat="1" applyFont="1" applyFill="1" applyBorder="1" applyAlignment="1" applyProtection="1">
      <alignment horizontal="center"/>
      <protection locked="0"/>
    </xf>
    <xf numFmtId="165" fontId="0" fillId="9" borderId="1" xfId="2" applyNumberFormat="1" applyFont="1" applyFill="1" applyBorder="1" applyAlignment="1" applyProtection="1">
      <alignment horizontal="center"/>
    </xf>
    <xf numFmtId="165" fontId="0" fillId="6" borderId="1" xfId="0" applyNumberFormat="1" applyFill="1" applyBorder="1"/>
    <xf numFmtId="2" fontId="0" fillId="6" borderId="1" xfId="0" applyNumberFormat="1" applyFill="1" applyBorder="1"/>
    <xf numFmtId="165" fontId="0" fillId="10" borderId="1" xfId="2" applyNumberFormat="1" applyFont="1" applyFill="1" applyBorder="1" applyAlignment="1">
      <alignment horizontal="center"/>
    </xf>
    <xf numFmtId="166" fontId="0" fillId="6" borderId="1" xfId="0" applyNumberFormat="1" applyFill="1" applyBorder="1"/>
    <xf numFmtId="168" fontId="0" fillId="13"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5"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70" fontId="0" fillId="13" borderId="1" xfId="3" applyNumberFormat="1" applyFont="1" applyFill="1" applyBorder="1"/>
    <xf numFmtId="165" fontId="0" fillId="16" borderId="1" xfId="2" applyNumberFormat="1" applyFont="1" applyFill="1" applyBorder="1" applyAlignment="1">
      <alignment horizontal="center"/>
    </xf>
    <xf numFmtId="0" fontId="0" fillId="9" borderId="1" xfId="0" applyFont="1" applyFill="1" applyBorder="1" applyAlignment="1">
      <alignment horizontal="center"/>
    </xf>
    <xf numFmtId="0" fontId="0" fillId="0" borderId="1" xfId="0" applyFill="1" applyBorder="1"/>
    <xf numFmtId="170" fontId="0" fillId="0" borderId="1" xfId="3" applyNumberFormat="1" applyFont="1" applyFill="1" applyBorder="1"/>
    <xf numFmtId="0" fontId="17" fillId="0" borderId="6" xfId="0" applyFont="1" applyBorder="1"/>
    <xf numFmtId="0" fontId="0" fillId="0" borderId="6" xfId="0" applyBorder="1"/>
    <xf numFmtId="3" fontId="0" fillId="9" borderId="1" xfId="0" applyNumberFormat="1" applyFont="1" applyFill="1" applyBorder="1" applyAlignment="1" applyProtection="1">
      <alignment horizontal="center"/>
    </xf>
    <xf numFmtId="165" fontId="0" fillId="9" borderId="1" xfId="0" applyNumberFormat="1" applyFont="1" applyFill="1" applyBorder="1" applyAlignment="1" applyProtection="1">
      <alignment horizontal="center"/>
    </xf>
    <xf numFmtId="0" fontId="7" fillId="17" borderId="1" xfId="0" applyFont="1" applyFill="1" applyBorder="1"/>
    <xf numFmtId="3" fontId="7" fillId="17" borderId="1" xfId="0" applyNumberFormat="1" applyFont="1" applyFill="1" applyBorder="1" applyProtection="1">
      <protection locked="0"/>
    </xf>
    <xf numFmtId="0" fontId="0" fillId="3" borderId="1" xfId="0" applyFill="1" applyBorder="1" applyAlignment="1" applyProtection="1">
      <alignment horizontal="center" vertical="center"/>
      <protection locked="0"/>
    </xf>
    <xf numFmtId="0" fontId="0" fillId="3" borderId="1" xfId="0" applyNumberFormat="1" applyFill="1" applyBorder="1" applyAlignment="1" applyProtection="1">
      <alignment horizontal="center" vertical="center"/>
      <protection locked="0"/>
    </xf>
    <xf numFmtId="0" fontId="18" fillId="18" borderId="1" xfId="0" applyFont="1" applyFill="1" applyBorder="1" applyAlignment="1">
      <alignment horizontal="center"/>
    </xf>
    <xf numFmtId="0" fontId="0" fillId="0" borderId="1" xfId="0" applyBorder="1" applyAlignment="1">
      <alignment horizontal="center" vertical="center"/>
    </xf>
    <xf numFmtId="41" fontId="0" fillId="0" borderId="1" xfId="1" applyNumberFormat="1" applyFont="1" applyBorder="1" applyAlignment="1">
      <alignment horizontal="center" vertical="center"/>
    </xf>
    <xf numFmtId="0" fontId="0" fillId="0" borderId="1" xfId="1" applyNumberFormat="1" applyFont="1" applyBorder="1" applyAlignment="1">
      <alignment horizontal="center" vertical="center"/>
    </xf>
    <xf numFmtId="3" fontId="0" fillId="19" borderId="1" xfId="0" applyNumberFormat="1" applyFont="1" applyFill="1" applyBorder="1" applyAlignment="1" applyProtection="1">
      <alignment horizontal="center"/>
      <protection locked="0"/>
    </xf>
    <xf numFmtId="3" fontId="0" fillId="20" borderId="1" xfId="0" applyNumberFormat="1" applyFont="1" applyFill="1" applyBorder="1" applyAlignment="1" applyProtection="1">
      <alignment horizontal="center"/>
      <protection locked="0"/>
    </xf>
    <xf numFmtId="41" fontId="0" fillId="2" borderId="1" xfId="1" applyNumberFormat="1" applyFont="1" applyFill="1" applyBorder="1" applyAlignment="1">
      <alignment horizontal="center" vertical="center"/>
    </xf>
    <xf numFmtId="0" fontId="0" fillId="19" borderId="1" xfId="0" applyFont="1" applyFill="1" applyBorder="1" applyAlignment="1">
      <alignment horizontal="center"/>
    </xf>
    <xf numFmtId="0" fontId="0" fillId="20" borderId="1" xfId="0" applyFont="1" applyFill="1" applyBorder="1" applyAlignment="1">
      <alignment horizontal="center"/>
    </xf>
    <xf numFmtId="0" fontId="0" fillId="12" borderId="1" xfId="0" applyFill="1" applyBorder="1" applyAlignment="1">
      <alignment horizontal="center" vertical="center"/>
    </xf>
    <xf numFmtId="41" fontId="0" fillId="12" borderId="1" xfId="1" applyNumberFormat="1" applyFont="1" applyFill="1" applyBorder="1" applyAlignment="1">
      <alignment horizontal="center" vertical="center"/>
    </xf>
    <xf numFmtId="0" fontId="3" fillId="0" borderId="1" xfId="0" applyFont="1" applyBorder="1" applyAlignment="1">
      <alignment horizontal="center" vertical="center"/>
    </xf>
    <xf numFmtId="0" fontId="3" fillId="12" borderId="1" xfId="0" applyFont="1" applyFill="1" applyBorder="1" applyAlignment="1">
      <alignment horizontal="center" vertical="center"/>
    </xf>
    <xf numFmtId="0" fontId="3" fillId="21" borderId="1" xfId="1" applyNumberFormat="1" applyFont="1" applyFill="1" applyBorder="1" applyAlignment="1">
      <alignment horizontal="center" vertical="center"/>
    </xf>
    <xf numFmtId="41" fontId="3" fillId="21" borderId="1" xfId="1" applyNumberFormat="1" applyFont="1" applyFill="1" applyBorder="1" applyAlignment="1">
      <alignment horizontal="center" vertical="center"/>
    </xf>
    <xf numFmtId="0" fontId="0" fillId="0" borderId="0" xfId="0" quotePrefix="1" applyAlignment="1">
      <alignment horizontal="right"/>
    </xf>
    <xf numFmtId="165" fontId="0" fillId="22" borderId="1" xfId="2" applyNumberFormat="1" applyFont="1" applyFill="1" applyBorder="1" applyAlignment="1">
      <alignment horizontal="center"/>
    </xf>
    <xf numFmtId="0" fontId="0" fillId="0" borderId="8" xfId="0" applyBorder="1" applyAlignment="1">
      <alignment horizontal="center"/>
    </xf>
    <xf numFmtId="14" fontId="0" fillId="0" borderId="1" xfId="0" applyNumberFormat="1" applyBorder="1"/>
    <xf numFmtId="21" fontId="0" fillId="0" borderId="1" xfId="0" applyNumberForma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applyAlignment="1">
      <alignment horizontal="center"/>
    </xf>
    <xf numFmtId="21" fontId="0" fillId="0" borderId="12" xfId="0" applyNumberFormat="1" applyBorder="1"/>
    <xf numFmtId="0" fontId="0" fillId="0" borderId="16" xfId="0" applyBorder="1"/>
    <xf numFmtId="21" fontId="0" fillId="0" borderId="17" xfId="0" applyNumberFormat="1" applyBorder="1"/>
    <xf numFmtId="21" fontId="0" fillId="0" borderId="0" xfId="0" applyNumberFormat="1"/>
    <xf numFmtId="0" fontId="0" fillId="0" borderId="18" xfId="0" applyBorder="1"/>
    <xf numFmtId="0" fontId="0" fillId="0" borderId="0" xfId="0" applyBorder="1"/>
    <xf numFmtId="21" fontId="0" fillId="0" borderId="20" xfId="0" applyNumberFormat="1"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12" xfId="0" applyFill="1" applyBorder="1"/>
    <xf numFmtId="0" fontId="0" fillId="0" borderId="17" xfId="0" applyBorder="1"/>
    <xf numFmtId="0" fontId="0" fillId="0" borderId="0" xfId="0" quotePrefix="1" applyAlignment="1">
      <alignment horizontal="center"/>
    </xf>
    <xf numFmtId="0" fontId="0" fillId="0" borderId="30" xfId="0" applyBorder="1"/>
    <xf numFmtId="0" fontId="0" fillId="0" borderId="31" xfId="0" applyBorder="1"/>
    <xf numFmtId="0" fontId="0" fillId="0" borderId="32" xfId="0" applyBorder="1" applyAlignment="1">
      <alignment horizontal="center"/>
    </xf>
    <xf numFmtId="0" fontId="3" fillId="0" borderId="24" xfId="0" applyFont="1" applyBorder="1"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34" xfId="0" applyBorder="1"/>
    <xf numFmtId="0" fontId="3" fillId="0" borderId="2" xfId="0" applyFont="1" applyBorder="1"/>
    <xf numFmtId="0" fontId="3" fillId="0" borderId="35" xfId="0" applyFont="1" applyBorder="1"/>
    <xf numFmtId="0" fontId="19" fillId="0" borderId="3" xfId="0" applyFont="1" applyBorder="1"/>
    <xf numFmtId="0" fontId="0" fillId="0" borderId="36" xfId="0" applyBorder="1"/>
    <xf numFmtId="21" fontId="3" fillId="0" borderId="2" xfId="0" applyNumberFormat="1" applyFont="1" applyBorder="1"/>
    <xf numFmtId="21" fontId="3" fillId="0" borderId="35" xfId="0" applyNumberFormat="1" applyFont="1" applyBorder="1"/>
    <xf numFmtId="21" fontId="0" fillId="0" borderId="3" xfId="0" applyNumberFormat="1" applyBorder="1"/>
    <xf numFmtId="21" fontId="0" fillId="0" borderId="2" xfId="0" applyNumberFormat="1" applyBorder="1"/>
    <xf numFmtId="21" fontId="0" fillId="0" borderId="35" xfId="0" applyNumberFormat="1" applyBorder="1"/>
    <xf numFmtId="0" fontId="0" fillId="25" borderId="1" xfId="0" applyFill="1" applyBorder="1"/>
    <xf numFmtId="0" fontId="0" fillId="0" borderId="3" xfId="0" applyBorder="1"/>
    <xf numFmtId="0" fontId="0" fillId="0" borderId="2" xfId="0" applyBorder="1"/>
    <xf numFmtId="0" fontId="0" fillId="0" borderId="35" xfId="0" applyBorder="1"/>
    <xf numFmtId="0" fontId="0" fillId="25" borderId="20" xfId="0" applyFill="1" applyBorder="1"/>
    <xf numFmtId="0" fontId="0" fillId="0" borderId="37" xfId="0" applyBorder="1"/>
    <xf numFmtId="0" fontId="0" fillId="0" borderId="38" xfId="0" applyBorder="1"/>
    <xf numFmtId="0" fontId="0" fillId="0" borderId="39" xfId="0" applyBorder="1"/>
    <xf numFmtId="0" fontId="0" fillId="2" borderId="1" xfId="0" applyFill="1" applyBorder="1" applyAlignment="1">
      <alignment horizontal="center" vertical="center"/>
    </xf>
    <xf numFmtId="41" fontId="0" fillId="26" borderId="1" xfId="1" applyNumberFormat="1" applyFont="1" applyFill="1" applyBorder="1" applyAlignment="1">
      <alignment horizontal="center" vertical="center"/>
    </xf>
    <xf numFmtId="0" fontId="0" fillId="26" borderId="1" xfId="0" applyFill="1" applyBorder="1"/>
    <xf numFmtId="0" fontId="3" fillId="27" borderId="1" xfId="1" applyNumberFormat="1" applyFont="1" applyFill="1" applyBorder="1" applyAlignment="1">
      <alignment horizontal="center" vertical="center"/>
    </xf>
    <xf numFmtId="0" fontId="3" fillId="27" borderId="35" xfId="0" applyFont="1" applyFill="1" applyBorder="1"/>
    <xf numFmtId="0" fontId="19" fillId="0" borderId="1" xfId="0" applyFont="1" applyFill="1" applyBorder="1"/>
    <xf numFmtId="0" fontId="19" fillId="0" borderId="0" xfId="0" applyFont="1" applyBorder="1"/>
    <xf numFmtId="0" fontId="19" fillId="0" borderId="35" xfId="0" applyFont="1" applyFill="1" applyBorder="1"/>
    <xf numFmtId="0" fontId="19" fillId="0" borderId="2" xfId="0" applyFont="1" applyFill="1" applyBorder="1"/>
    <xf numFmtId="0" fontId="21" fillId="0" borderId="3" xfId="0" applyFont="1" applyBorder="1"/>
    <xf numFmtId="21" fontId="3" fillId="0" borderId="3" xfId="0" applyNumberFormat="1" applyFont="1" applyBorder="1"/>
    <xf numFmtId="0" fontId="22" fillId="0" borderId="3" xfId="0" applyFont="1" applyFill="1" applyBorder="1"/>
    <xf numFmtId="0" fontId="22" fillId="0" borderId="2" xfId="0" applyFont="1" applyBorder="1"/>
    <xf numFmtId="0" fontId="22" fillId="0" borderId="35" xfId="0" applyFont="1" applyBorder="1"/>
    <xf numFmtId="0" fontId="19" fillId="0" borderId="1" xfId="0" applyFont="1" applyBorder="1"/>
    <xf numFmtId="0" fontId="23" fillId="0" borderId="0" xfId="0" applyFont="1"/>
    <xf numFmtId="0" fontId="23" fillId="0" borderId="0" xfId="0" quotePrefix="1" applyFont="1"/>
    <xf numFmtId="0" fontId="0" fillId="0" borderId="0" xfId="0" quotePrefix="1"/>
    <xf numFmtId="0" fontId="24" fillId="0" borderId="0" xfId="0" applyFont="1"/>
    <xf numFmtId="0" fontId="0" fillId="0" borderId="1" xfId="0" applyBorder="1" applyAlignment="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3" fillId="0" borderId="30" xfId="0" applyFont="1"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xf>
    <xf numFmtId="0" fontId="0" fillId="0" borderId="12" xfId="0"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0" xfId="0" applyAlignment="1">
      <alignment horizontal="center"/>
    </xf>
    <xf numFmtId="0" fontId="3" fillId="0" borderId="0" xfId="0" applyFont="1" applyBorder="1" applyAlignment="1">
      <alignment horizontal="center"/>
    </xf>
    <xf numFmtId="21" fontId="0" fillId="0" borderId="0" xfId="0" applyNumberFormat="1" applyBorder="1" applyAlignment="1">
      <alignment horizontal="center" wrapText="1"/>
    </xf>
    <xf numFmtId="0" fontId="0" fillId="0" borderId="0" xfId="0" applyBorder="1" applyAlignment="1">
      <alignment horizontal="center"/>
    </xf>
    <xf numFmtId="0" fontId="0" fillId="0" borderId="34" xfId="0" applyFill="1" applyBorder="1" applyAlignment="1">
      <alignment horizontal="left"/>
    </xf>
    <xf numFmtId="0" fontId="0" fillId="0" borderId="40" xfId="0" applyFill="1" applyBorder="1" applyAlignment="1">
      <alignment horizontal="left"/>
    </xf>
    <xf numFmtId="0" fontId="0" fillId="0" borderId="41" xfId="0" applyFill="1" applyBorder="1" applyAlignment="1">
      <alignment horizontal="left"/>
    </xf>
    <xf numFmtId="0" fontId="0" fillId="0" borderId="34" xfId="0" applyBorder="1" applyAlignment="1">
      <alignment horizontal="left"/>
    </xf>
    <xf numFmtId="0" fontId="0" fillId="0" borderId="40" xfId="0" applyBorder="1" applyAlignment="1">
      <alignment horizontal="left"/>
    </xf>
    <xf numFmtId="0" fontId="0" fillId="0" borderId="41" xfId="0" applyBorder="1" applyAlignment="1">
      <alignment horizontal="left"/>
    </xf>
    <xf numFmtId="21" fontId="0" fillId="0" borderId="0" xfId="0" applyNumberFormat="1" applyBorder="1"/>
    <xf numFmtId="21" fontId="0" fillId="0" borderId="0" xfId="0" applyNumberFormat="1" applyBorder="1" applyAlignment="1">
      <alignment horizontal="center"/>
    </xf>
    <xf numFmtId="0" fontId="20" fillId="12" borderId="28" xfId="0" applyFont="1" applyFill="1" applyBorder="1" applyAlignment="1">
      <alignment horizontal="center" vertical="center"/>
    </xf>
    <xf numFmtId="0" fontId="20" fillId="12" borderId="43" xfId="0" applyFont="1" applyFill="1" applyBorder="1" applyAlignment="1">
      <alignment horizontal="center" vertical="center"/>
    </xf>
    <xf numFmtId="0" fontId="21" fillId="12" borderId="1" xfId="0" applyFont="1" applyFill="1" applyBorder="1" applyAlignment="1">
      <alignment horizontal="center"/>
    </xf>
    <xf numFmtId="0" fontId="20" fillId="12" borderId="1" xfId="0" applyFont="1" applyFill="1" applyBorder="1" applyAlignment="1">
      <alignment horizontal="center"/>
    </xf>
    <xf numFmtId="21" fontId="20" fillId="12" borderId="1" xfId="0" applyNumberFormat="1" applyFont="1" applyFill="1" applyBorder="1" applyAlignment="1">
      <alignment horizontal="center" wrapText="1"/>
    </xf>
    <xf numFmtId="0" fontId="20" fillId="12" borderId="6" xfId="0" applyFont="1" applyFill="1" applyBorder="1" applyAlignment="1">
      <alignment horizontal="center" vertical="center"/>
    </xf>
    <xf numFmtId="0" fontId="20" fillId="12" borderId="44" xfId="0" applyFont="1" applyFill="1" applyBorder="1" applyAlignment="1">
      <alignment horizontal="center" vertical="center"/>
    </xf>
    <xf numFmtId="0" fontId="20" fillId="12" borderId="8" xfId="0" applyFont="1" applyFill="1" applyBorder="1" applyAlignment="1">
      <alignment horizontal="center"/>
    </xf>
    <xf numFmtId="0" fontId="20" fillId="12" borderId="1" xfId="0" applyFont="1" applyFill="1" applyBorder="1" applyAlignment="1">
      <alignment horizontal="center"/>
    </xf>
    <xf numFmtId="0" fontId="20" fillId="12" borderId="43" xfId="0" applyFont="1" applyFill="1" applyBorder="1" applyAlignment="1">
      <alignment horizontal="center"/>
    </xf>
    <xf numFmtId="0" fontId="21" fillId="12" borderId="24" xfId="0" applyFont="1" applyFill="1" applyBorder="1" applyAlignment="1">
      <alignment horizontal="center"/>
    </xf>
    <xf numFmtId="21" fontId="20" fillId="12" borderId="35" xfId="0" applyNumberFormat="1" applyFont="1" applyFill="1" applyBorder="1" applyAlignment="1">
      <alignment horizontal="center" wrapText="1"/>
    </xf>
    <xf numFmtId="0" fontId="0" fillId="0" borderId="35" xfId="0" applyBorder="1" applyAlignment="1">
      <alignment horizontal="center"/>
    </xf>
    <xf numFmtId="0" fontId="0" fillId="0" borderId="36" xfId="0" applyBorder="1" applyAlignment="1">
      <alignment horizontal="center"/>
    </xf>
    <xf numFmtId="0" fontId="0" fillId="0" borderId="38" xfId="0" applyBorder="1" applyAlignment="1">
      <alignment horizontal="center"/>
    </xf>
    <xf numFmtId="0" fontId="20" fillId="12" borderId="26" xfId="0" applyFont="1" applyFill="1" applyBorder="1" applyAlignment="1">
      <alignment horizontal="center"/>
    </xf>
    <xf numFmtId="0" fontId="21" fillId="12" borderId="9" xfId="0" applyFont="1" applyFill="1" applyBorder="1" applyAlignment="1">
      <alignment horizontal="center"/>
    </xf>
    <xf numFmtId="0" fontId="20" fillId="12" borderId="33" xfId="0" applyFont="1" applyFill="1" applyBorder="1" applyAlignment="1">
      <alignment horizontal="center"/>
    </xf>
    <xf numFmtId="21" fontId="20" fillId="12" borderId="11" xfId="0" applyNumberFormat="1" applyFont="1" applyFill="1" applyBorder="1" applyAlignment="1">
      <alignment horizontal="center" wrapText="1"/>
    </xf>
    <xf numFmtId="21" fontId="20" fillId="12" borderId="12" xfId="0" applyNumberFormat="1" applyFont="1" applyFill="1" applyBorder="1" applyAlignment="1">
      <alignment horizontal="center" wrapText="1"/>
    </xf>
    <xf numFmtId="0" fontId="20" fillId="12" borderId="11" xfId="0" applyFont="1" applyFill="1" applyBorder="1" applyAlignment="1">
      <alignment horizontal="center"/>
    </xf>
    <xf numFmtId="0" fontId="20" fillId="12" borderId="12" xfId="0" applyFont="1" applyFill="1" applyBorder="1" applyAlignment="1">
      <alignment horizontal="center"/>
    </xf>
    <xf numFmtId="0" fontId="19" fillId="0" borderId="12" xfId="0" applyFont="1" applyBorder="1"/>
    <xf numFmtId="0" fontId="21" fillId="12" borderId="31" xfId="0" applyFont="1" applyFill="1" applyBorder="1" applyAlignment="1">
      <alignment horizontal="center"/>
    </xf>
    <xf numFmtId="0" fontId="21" fillId="12" borderId="33" xfId="0" applyFont="1" applyFill="1" applyBorder="1" applyAlignment="1">
      <alignment horizontal="center"/>
    </xf>
    <xf numFmtId="0" fontId="20" fillId="12" borderId="19" xfId="0" applyFont="1" applyFill="1" applyBorder="1" applyAlignment="1">
      <alignment horizontal="center"/>
    </xf>
    <xf numFmtId="0" fontId="20" fillId="12" borderId="42" xfId="0" applyFont="1" applyFill="1" applyBorder="1" applyAlignment="1">
      <alignment horizontal="center"/>
    </xf>
    <xf numFmtId="0" fontId="19" fillId="0" borderId="2" xfId="0" applyFont="1" applyBorder="1"/>
    <xf numFmtId="21" fontId="20" fillId="12" borderId="15" xfId="0" applyNumberFormat="1" applyFont="1" applyFill="1" applyBorder="1" applyAlignment="1">
      <alignment horizontal="center" wrapText="1"/>
    </xf>
    <xf numFmtId="0" fontId="3" fillId="0" borderId="0" xfId="0" applyFont="1" applyFill="1" applyBorder="1" applyAlignment="1">
      <alignment horizontal="center"/>
    </xf>
    <xf numFmtId="0" fontId="3" fillId="0" borderId="0" xfId="0" applyFont="1" applyBorder="1"/>
    <xf numFmtId="0" fontId="3" fillId="23" borderId="3" xfId="0" applyFont="1" applyFill="1" applyBorder="1" applyAlignment="1">
      <alignment horizontal="center"/>
    </xf>
    <xf numFmtId="0" fontId="3" fillId="24" borderId="3" xfId="0" applyFont="1" applyFill="1" applyBorder="1"/>
    <xf numFmtId="0" fontId="3" fillId="0" borderId="36" xfId="0" applyFont="1" applyBorder="1"/>
    <xf numFmtId="0" fontId="3" fillId="24" borderId="3" xfId="0" applyFont="1" applyFill="1" applyBorder="1" applyAlignment="1">
      <alignment vertical="center"/>
    </xf>
    <xf numFmtId="0" fontId="3" fillId="23" borderId="40" xfId="0" applyFont="1" applyFill="1" applyBorder="1" applyAlignment="1">
      <alignment horizontal="center"/>
    </xf>
    <xf numFmtId="0" fontId="3" fillId="0" borderId="38" xfId="0" applyFont="1" applyBorder="1"/>
    <xf numFmtId="0" fontId="20" fillId="12" borderId="27" xfId="0" applyFont="1" applyFill="1" applyBorder="1" applyAlignment="1">
      <alignment horizontal="center" vertical="center"/>
    </xf>
    <xf numFmtId="0" fontId="20" fillId="12" borderId="45" xfId="0" applyFont="1" applyFill="1" applyBorder="1" applyAlignment="1">
      <alignment horizontal="center" vertical="center"/>
    </xf>
    <xf numFmtId="0" fontId="20" fillId="12" borderId="25" xfId="0" applyFont="1" applyFill="1" applyBorder="1" applyAlignment="1">
      <alignment horizontal="center"/>
    </xf>
    <xf numFmtId="0" fontId="0" fillId="0" borderId="46" xfId="0" applyBorder="1"/>
    <xf numFmtId="0" fontId="3" fillId="24" borderId="40" xfId="0" applyFont="1" applyFill="1" applyBorder="1"/>
    <xf numFmtId="0" fontId="3" fillId="26" borderId="47" xfId="0" applyFont="1" applyFill="1" applyBorder="1" applyAlignment="1">
      <alignment horizontal="center"/>
    </xf>
    <xf numFmtId="0" fontId="3" fillId="23" borderId="48" xfId="0" applyFont="1" applyFill="1" applyBorder="1" applyAlignment="1">
      <alignment horizontal="center" vertical="center" wrapText="1"/>
    </xf>
    <xf numFmtId="0" fontId="3" fillId="23" borderId="47" xfId="0" applyFont="1" applyFill="1" applyBorder="1" applyAlignment="1">
      <alignment horizontal="center" vertical="center" wrapText="1"/>
    </xf>
    <xf numFmtId="165" fontId="3" fillId="16" borderId="49" xfId="2" applyNumberFormat="1" applyFont="1" applyFill="1" applyBorder="1" applyAlignment="1">
      <alignment horizontal="center"/>
    </xf>
    <xf numFmtId="0" fontId="0" fillId="0" borderId="30" xfId="0" applyFont="1" applyBorder="1"/>
    <xf numFmtId="0" fontId="0" fillId="0" borderId="8" xfId="0" applyBorder="1"/>
    <xf numFmtId="165" fontId="3" fillId="0" borderId="8" xfId="2" applyNumberFormat="1" applyFont="1" applyFill="1" applyBorder="1" applyAlignment="1">
      <alignment horizontal="center"/>
    </xf>
    <xf numFmtId="0" fontId="3" fillId="0" borderId="50" xfId="0" applyFont="1" applyBorder="1"/>
    <xf numFmtId="0" fontId="3" fillId="0" borderId="7"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66CCFF"/>
      <color rgb="FF66FFFF"/>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100854</xdr:colOff>
      <xdr:row>0</xdr:row>
      <xdr:rowOff>123265</xdr:rowOff>
    </xdr:from>
    <xdr:to>
      <xdr:col>4</xdr:col>
      <xdr:colOff>977348</xdr:colOff>
      <xdr:row>9</xdr:row>
      <xdr:rowOff>156882</xdr:rowOff>
    </xdr:to>
    <xdr:sp macro="" textlink="">
      <xdr:nvSpPr>
        <xdr:cNvPr id="2" name="TextBox 1"/>
        <xdr:cNvSpPr txBox="1"/>
      </xdr:nvSpPr>
      <xdr:spPr>
        <a:xfrm>
          <a:off x="100854" y="123265"/>
          <a:ext cx="6649472"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"Inputs</a:t>
          </a:r>
          <a:r>
            <a:rPr lang="en-US" sz="1100" b="0" baseline="0">
              <a:solidFill>
                <a:schemeClr val="bg1"/>
              </a:solidFill>
            </a:rPr>
            <a:t> &amp; Outputs" tab, f</a:t>
          </a:r>
          <a:r>
            <a:rPr lang="en-US" sz="1100" b="0">
              <a:solidFill>
                <a:schemeClr val="bg1"/>
              </a:solidFill>
            </a:rPr>
            <a:t>ill in all "blue" shaded sections ("Project Information" and "Daily Travel Demand</a:t>
          </a:r>
          <a:r>
            <a:rPr lang="en-US" sz="1100" b="0" baseline="0">
              <a:solidFill>
                <a:schemeClr val="bg1"/>
              </a:solidFill>
            </a:rPr>
            <a:t>").  While optional, please provide 2025 volume/capacity if available.</a:t>
          </a:r>
        </a:p>
        <a:p>
          <a:endParaRPr lang="en-US" sz="1100" b="0" baseline="0">
            <a:solidFill>
              <a:schemeClr val="bg1"/>
            </a:solidFill>
          </a:endParaRPr>
        </a:p>
        <a:p>
          <a:r>
            <a:rPr lang="en-US" sz="1100" b="0" baseline="0">
              <a:solidFill>
                <a:schemeClr val="bg1"/>
              </a:solidFill>
            </a:rPr>
            <a:t>2. Results will be populated in "red" shaded section ("Benefit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on the "Calculations" tab.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moser.tamu.edu/docs/Texas.Guide.to.Accepted.Mobile.Source.Emission.Reduction.Strategies_August.2007.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7"/>
  <sheetViews>
    <sheetView zoomScale="130" zoomScaleNormal="130" workbookViewId="0">
      <selection activeCell="F26" sqref="F26"/>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34"/>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F10"/>
  <sheetViews>
    <sheetView zoomScale="85" zoomScaleNormal="85" workbookViewId="0">
      <selection activeCell="F5" sqref="F5"/>
    </sheetView>
  </sheetViews>
  <sheetFormatPr defaultRowHeight="15" x14ac:dyDescent="0.25"/>
  <cols>
    <col min="2" max="2" width="14" customWidth="1"/>
    <col min="3" max="3" width="16.7109375" customWidth="1"/>
    <col min="4" max="4" width="14.5703125" bestFit="1" customWidth="1"/>
    <col min="5" max="5" width="17.85546875" bestFit="1" customWidth="1"/>
    <col min="6" max="6" width="17.28515625" bestFit="1" customWidth="1"/>
    <col min="7" max="7" width="10.140625" bestFit="1" customWidth="1"/>
  </cols>
  <sheetData>
    <row r="2" spans="2:6" x14ac:dyDescent="0.25">
      <c r="B2" s="5" t="s">
        <v>128</v>
      </c>
    </row>
    <row r="4" spans="2:6" x14ac:dyDescent="0.25">
      <c r="B4" s="72" t="s">
        <v>95</v>
      </c>
      <c r="C4" s="72" t="s">
        <v>96</v>
      </c>
      <c r="D4" s="72" t="s">
        <v>97</v>
      </c>
      <c r="E4" s="72" t="s">
        <v>98</v>
      </c>
      <c r="F4" s="72" t="s">
        <v>111</v>
      </c>
    </row>
    <row r="5" spans="2:6" x14ac:dyDescent="0.25">
      <c r="B5" s="73" t="s">
        <v>99</v>
      </c>
      <c r="C5" s="73" t="s">
        <v>100</v>
      </c>
      <c r="D5" s="75">
        <v>3.0000000000000001E-3</v>
      </c>
      <c r="E5" s="74">
        <v>27600</v>
      </c>
      <c r="F5" s="74">
        <f>E5*(1+'Assumed Values'!$C$8)^(2015-2013)</f>
        <v>28761.908178929672</v>
      </c>
    </row>
    <row r="6" spans="2:6" x14ac:dyDescent="0.25">
      <c r="B6" s="73" t="s">
        <v>101</v>
      </c>
      <c r="C6" s="73" t="s">
        <v>102</v>
      </c>
      <c r="D6" s="75">
        <v>4.7E-2</v>
      </c>
      <c r="E6" s="74">
        <v>432400</v>
      </c>
      <c r="F6" s="74">
        <f>E6*(1+'Assumed Values'!$C$8)^(2015-2013)</f>
        <v>450603.22813656484</v>
      </c>
    </row>
    <row r="7" spans="2:6" x14ac:dyDescent="0.25">
      <c r="B7" s="73" t="s">
        <v>103</v>
      </c>
      <c r="C7" s="73" t="s">
        <v>104</v>
      </c>
      <c r="D7" s="75">
        <v>0.105</v>
      </c>
      <c r="E7" s="74">
        <v>966000</v>
      </c>
      <c r="F7" s="74">
        <f>E7*(1+'Assumed Values'!$C$8)^(2015-2013)</f>
        <v>1006666.7862625385</v>
      </c>
    </row>
    <row r="8" spans="2:6" x14ac:dyDescent="0.25">
      <c r="B8" s="73" t="s">
        <v>105</v>
      </c>
      <c r="C8" s="73" t="s">
        <v>106</v>
      </c>
      <c r="D8" s="75">
        <v>0.26600000000000001</v>
      </c>
      <c r="E8" s="74">
        <v>2447200</v>
      </c>
      <c r="F8" s="74">
        <f>E8*(1+'Assumed Values'!$C$8)^(2015-2013)</f>
        <v>2550222.5251984308</v>
      </c>
    </row>
    <row r="9" spans="2:6" x14ac:dyDescent="0.25">
      <c r="B9" s="73" t="s">
        <v>107</v>
      </c>
      <c r="C9" s="73" t="s">
        <v>108</v>
      </c>
      <c r="D9" s="75">
        <v>0.59299999999999997</v>
      </c>
      <c r="E9" s="74">
        <v>5455600</v>
      </c>
      <c r="F9" s="74">
        <f>E9*(1+'Assumed Values'!$C$8)^(2015-2013)</f>
        <v>5685270.5167017654</v>
      </c>
    </row>
    <row r="10" spans="2:6" x14ac:dyDescent="0.25">
      <c r="B10" s="73" t="s">
        <v>109</v>
      </c>
      <c r="C10" s="73" t="s">
        <v>110</v>
      </c>
      <c r="D10" s="75">
        <v>1</v>
      </c>
      <c r="E10" s="74">
        <v>9200000</v>
      </c>
      <c r="F10" s="74">
        <f>E10*(1+'Assumed Values'!$C$8)^(2015-2013)</f>
        <v>9587302.7263098899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D5"/>
  <sheetViews>
    <sheetView workbookViewId="0">
      <selection activeCell="C7" sqref="C7"/>
    </sheetView>
  </sheetViews>
  <sheetFormatPr defaultRowHeight="15" x14ac:dyDescent="0.25"/>
  <cols>
    <col min="1" max="1" width="2.85546875" customWidth="1"/>
    <col min="2" max="2" width="33.7109375" customWidth="1"/>
    <col min="3" max="4" width="20" bestFit="1" customWidth="1"/>
  </cols>
  <sheetData>
    <row r="1" spans="2:4" x14ac:dyDescent="0.25">
      <c r="B1" s="5" t="s">
        <v>48</v>
      </c>
    </row>
    <row r="2" spans="2:4" x14ac:dyDescent="0.25">
      <c r="B2" s="5"/>
    </row>
    <row r="3" spans="2:4" x14ac:dyDescent="0.25">
      <c r="B3" s="55" t="s">
        <v>10</v>
      </c>
      <c r="C3" s="55" t="s">
        <v>77</v>
      </c>
      <c r="D3" s="55" t="s">
        <v>85</v>
      </c>
    </row>
    <row r="4" spans="2:4" x14ac:dyDescent="0.25">
      <c r="B4" s="48" t="s">
        <v>11</v>
      </c>
      <c r="C4" s="69">
        <v>1999</v>
      </c>
      <c r="D4" s="69">
        <f>C4*(1+'Assumed Values'!$C$8)^(2015-2013)</f>
        <v>2083.1541467275511</v>
      </c>
    </row>
    <row r="5" spans="2:4" x14ac:dyDescent="0.25">
      <c r="B5" s="48" t="s">
        <v>12</v>
      </c>
      <c r="C5" s="49">
        <v>7877</v>
      </c>
      <c r="D5" s="69">
        <f>C5*(1+'Assumed Values'!$C$8)^(2015-2013)</f>
        <v>8208.6069103416321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P9"/>
  <sheetViews>
    <sheetView workbookViewId="0">
      <selection activeCell="P5" sqref="P5"/>
    </sheetView>
  </sheetViews>
  <sheetFormatPr defaultRowHeight="15" x14ac:dyDescent="0.25"/>
  <cols>
    <col min="1" max="1" width="19.5703125" customWidth="1"/>
    <col min="2" max="6" width="7.5703125" bestFit="1" customWidth="1"/>
    <col min="7" max="13" width="8.5703125" bestFit="1" customWidth="1"/>
    <col min="14" max="14" width="10.140625" bestFit="1" customWidth="1"/>
  </cols>
  <sheetData>
    <row r="2" spans="1:16" x14ac:dyDescent="0.25">
      <c r="A2" s="4" t="s">
        <v>39</v>
      </c>
      <c r="B2" s="39"/>
      <c r="C2" s="39"/>
      <c r="D2" s="39"/>
      <c r="E2" s="39"/>
      <c r="F2" s="39"/>
      <c r="G2" s="39"/>
      <c r="H2" s="39"/>
      <c r="I2" s="39"/>
      <c r="J2" s="39"/>
      <c r="K2" s="39"/>
      <c r="L2" s="39"/>
      <c r="M2" s="39"/>
      <c r="N2" s="39"/>
    </row>
    <row r="3" spans="1:16" x14ac:dyDescent="0.25">
      <c r="A3" s="39"/>
      <c r="B3" s="40">
        <v>2000</v>
      </c>
      <c r="C3" s="40">
        <v>2001</v>
      </c>
      <c r="D3" s="40">
        <v>2002</v>
      </c>
      <c r="E3" s="40">
        <v>2003</v>
      </c>
      <c r="F3" s="40">
        <v>2004</v>
      </c>
      <c r="G3" s="40">
        <v>2005</v>
      </c>
      <c r="H3" s="40">
        <v>2006</v>
      </c>
      <c r="I3" s="40">
        <v>2007</v>
      </c>
      <c r="J3" s="40">
        <v>2008</v>
      </c>
      <c r="K3" s="40">
        <v>2009</v>
      </c>
      <c r="L3" s="40">
        <v>2010</v>
      </c>
      <c r="M3" s="40">
        <v>2011</v>
      </c>
      <c r="N3" s="40">
        <v>2012</v>
      </c>
      <c r="O3" s="40">
        <v>2013</v>
      </c>
      <c r="P3" s="40" t="s">
        <v>82</v>
      </c>
    </row>
    <row r="4" spans="1:16" x14ac:dyDescent="0.25">
      <c r="A4" s="41" t="s">
        <v>42</v>
      </c>
      <c r="B4" s="42">
        <v>81.891000000000005</v>
      </c>
      <c r="C4" s="42">
        <v>83.766000000000005</v>
      </c>
      <c r="D4" s="42">
        <v>85.054000000000002</v>
      </c>
      <c r="E4" s="42">
        <v>86.754000000000005</v>
      </c>
      <c r="F4" s="42">
        <v>89.132000000000005</v>
      </c>
      <c r="G4" s="42">
        <v>91.991</v>
      </c>
      <c r="H4" s="42">
        <v>94.817999999999998</v>
      </c>
      <c r="I4" s="42">
        <v>97.334999999999994</v>
      </c>
      <c r="J4" s="42">
        <v>99.236000000000004</v>
      </c>
      <c r="K4" s="42">
        <v>100</v>
      </c>
      <c r="L4" s="42">
        <v>101.211</v>
      </c>
      <c r="M4" s="43">
        <v>103.199</v>
      </c>
      <c r="N4" s="43">
        <v>105.002</v>
      </c>
      <c r="O4" s="43">
        <v>106.58799999999999</v>
      </c>
      <c r="P4" s="43"/>
    </row>
    <row r="5" spans="1:16" x14ac:dyDescent="0.25">
      <c r="A5" s="41" t="s">
        <v>43</v>
      </c>
      <c r="B5" s="42">
        <f t="shared" ref="B5:H5" si="0">C4/B4</f>
        <v>1.0228962889694839</v>
      </c>
      <c r="C5" s="42">
        <f t="shared" si="0"/>
        <v>1.0153761669412411</v>
      </c>
      <c r="D5" s="42">
        <f t="shared" si="0"/>
        <v>1.0199873021844945</v>
      </c>
      <c r="E5" s="42">
        <f t="shared" si="0"/>
        <v>1.0274108398460013</v>
      </c>
      <c r="F5" s="42">
        <f t="shared" si="0"/>
        <v>1.0320760220796121</v>
      </c>
      <c r="G5" s="42">
        <f t="shared" si="0"/>
        <v>1.0307312671891815</v>
      </c>
      <c r="H5" s="42">
        <f t="shared" si="0"/>
        <v>1.0265455926089984</v>
      </c>
      <c r="I5" s="42">
        <f>J4/I4</f>
        <v>1.0195304874916526</v>
      </c>
      <c r="J5" s="42">
        <f t="shared" ref="J5:N5" si="1">K4/J4</f>
        <v>1.0076988189769842</v>
      </c>
      <c r="K5" s="42">
        <f t="shared" si="1"/>
        <v>1.0121100000000001</v>
      </c>
      <c r="L5" s="42">
        <f t="shared" si="1"/>
        <v>1.0196421337601644</v>
      </c>
      <c r="M5" s="42">
        <f t="shared" si="1"/>
        <v>1.0174710995261582</v>
      </c>
      <c r="N5" s="42">
        <f t="shared" si="1"/>
        <v>1.0151044742004913</v>
      </c>
      <c r="O5" s="42"/>
      <c r="P5" s="42">
        <f>AVERAGE(E5:N5)</f>
        <v>1.0208320735679244</v>
      </c>
    </row>
    <row r="6" spans="1:16" x14ac:dyDescent="0.25">
      <c r="A6" s="41" t="s">
        <v>44</v>
      </c>
      <c r="B6" s="42">
        <f t="shared" ref="B6:H6" si="2">$N4/B4</f>
        <v>1.2822166049993282</v>
      </c>
      <c r="C6" s="42">
        <f t="shared" si="2"/>
        <v>1.2535157462454933</v>
      </c>
      <c r="D6" s="42">
        <f t="shared" si="2"/>
        <v>1.2345333552801749</v>
      </c>
      <c r="E6" s="42">
        <f t="shared" si="2"/>
        <v>1.2103418862530833</v>
      </c>
      <c r="F6" s="42">
        <f t="shared" si="2"/>
        <v>1.178050531795539</v>
      </c>
      <c r="G6" s="42">
        <f t="shared" si="2"/>
        <v>1.1414377493450445</v>
      </c>
      <c r="H6" s="42">
        <f t="shared" si="2"/>
        <v>1.1074057668375203</v>
      </c>
      <c r="I6" s="42">
        <f>$N4/I4</f>
        <v>1.0787691991575488</v>
      </c>
      <c r="J6" s="42">
        <f t="shared" ref="J6:N6" si="3">$N4/J4</f>
        <v>1.0581039139022128</v>
      </c>
      <c r="K6" s="42">
        <f t="shared" si="3"/>
        <v>1.05002</v>
      </c>
      <c r="L6" s="42">
        <f t="shared" si="3"/>
        <v>1.0374564029601525</v>
      </c>
      <c r="M6" s="42">
        <f t="shared" si="3"/>
        <v>1.0174710995261582</v>
      </c>
      <c r="N6" s="42">
        <f t="shared" si="3"/>
        <v>1</v>
      </c>
      <c r="O6" s="42">
        <f t="shared" ref="O6" si="4">$N4/O4</f>
        <v>0.98512027620370024</v>
      </c>
      <c r="P6" s="42"/>
    </row>
    <row r="8" spans="1:16" x14ac:dyDescent="0.25">
      <c r="A8" s="44" t="s">
        <v>40</v>
      </c>
    </row>
    <row r="9" spans="1:16" x14ac:dyDescent="0.25">
      <c r="A9" s="45" t="s">
        <v>41</v>
      </c>
    </row>
  </sheetData>
  <hyperlinks>
    <hyperlink ref="A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14" t="s">
        <v>13</v>
      </c>
      <c r="D3" s="14" t="s">
        <v>32</v>
      </c>
      <c r="E3" s="15" t="s">
        <v>23</v>
      </c>
      <c r="G3" s="21" t="s">
        <v>27</v>
      </c>
      <c r="H3" s="21"/>
      <c r="I3" s="21" t="s">
        <v>33</v>
      </c>
      <c r="J3" s="21" t="s">
        <v>73</v>
      </c>
    </row>
    <row r="4" spans="1:10" x14ac:dyDescent="0.25">
      <c r="A4" s="12" t="s">
        <v>18</v>
      </c>
      <c r="B4" s="13"/>
      <c r="D4" s="12" t="s">
        <v>68</v>
      </c>
      <c r="E4" s="68">
        <v>2015</v>
      </c>
      <c r="G4" s="19">
        <f>E4</f>
        <v>2015</v>
      </c>
      <c r="H4" s="19">
        <f>IF(G4&lt;2041,1,0)</f>
        <v>1</v>
      </c>
      <c r="I4" s="28">
        <f>IF($G4&lt;($G$4+$E$5),$E$17,0)*H4</f>
        <v>0</v>
      </c>
      <c r="J4" s="57">
        <f>I4*$B$18*$B$19/10^3</f>
        <v>0</v>
      </c>
    </row>
    <row r="5" spans="1:10" x14ac:dyDescent="0.25">
      <c r="A5" s="12" t="s">
        <v>19</v>
      </c>
      <c r="B5" s="13"/>
      <c r="D5" s="12" t="s">
        <v>57</v>
      </c>
      <c r="E5" s="16">
        <v>10</v>
      </c>
      <c r="G5" s="20">
        <f t="shared" ref="G5:G29" si="0">G4+1</f>
        <v>2016</v>
      </c>
      <c r="H5" s="20">
        <f t="shared" ref="H5:H29" si="1">IF(G5&lt;2041,1,0)</f>
        <v>1</v>
      </c>
      <c r="I5" s="28">
        <f t="shared" ref="I5:I29" si="2">IF($G5&lt;($G$4+$E$5),$E$17,0)*H5</f>
        <v>0</v>
      </c>
      <c r="J5" s="64">
        <f t="shared" ref="J5:J24" si="3">I5*$B$18*$B$19/10^3</f>
        <v>0</v>
      </c>
    </row>
    <row r="6" spans="1:10" x14ac:dyDescent="0.25">
      <c r="A6" s="12" t="s">
        <v>20</v>
      </c>
      <c r="B6" s="13">
        <v>1</v>
      </c>
      <c r="D6" s="175" t="s">
        <v>55</v>
      </c>
      <c r="E6" s="176"/>
      <c r="G6" s="19">
        <f t="shared" si="0"/>
        <v>2017</v>
      </c>
      <c r="H6" s="19">
        <f t="shared" si="1"/>
        <v>1</v>
      </c>
      <c r="I6" s="28">
        <f t="shared" si="2"/>
        <v>0</v>
      </c>
      <c r="J6" s="57">
        <f t="shared" si="3"/>
        <v>0</v>
      </c>
    </row>
    <row r="7" spans="1:10" x14ac:dyDescent="0.25">
      <c r="A7" s="12" t="s">
        <v>71</v>
      </c>
      <c r="B7" s="31"/>
      <c r="D7" s="12" t="s">
        <v>65</v>
      </c>
      <c r="E7" s="16"/>
      <c r="G7" s="20">
        <f t="shared" si="0"/>
        <v>2018</v>
      </c>
      <c r="H7" s="20">
        <f t="shared" si="1"/>
        <v>1</v>
      </c>
      <c r="I7" s="28">
        <f t="shared" si="2"/>
        <v>0</v>
      </c>
      <c r="J7" s="64">
        <f t="shared" si="3"/>
        <v>0</v>
      </c>
    </row>
    <row r="8" spans="1:10" x14ac:dyDescent="0.25">
      <c r="A8" s="30" t="s">
        <v>72</v>
      </c>
      <c r="B8" s="31"/>
      <c r="D8" s="12" t="s">
        <v>63</v>
      </c>
      <c r="E8" s="67">
        <v>1.1499999999999999</v>
      </c>
      <c r="G8" s="19">
        <f t="shared" si="0"/>
        <v>2019</v>
      </c>
      <c r="H8" s="19">
        <f t="shared" si="1"/>
        <v>1</v>
      </c>
      <c r="I8" s="28">
        <f t="shared" si="2"/>
        <v>0</v>
      </c>
      <c r="J8" s="57">
        <f t="shared" si="3"/>
        <v>0</v>
      </c>
    </row>
    <row r="9" spans="1:10" x14ac:dyDescent="0.25">
      <c r="G9" s="20">
        <f t="shared" si="0"/>
        <v>2020</v>
      </c>
      <c r="H9" s="20">
        <f t="shared" si="1"/>
        <v>1</v>
      </c>
      <c r="I9" s="28">
        <f t="shared" si="2"/>
        <v>0</v>
      </c>
      <c r="J9" s="64">
        <f t="shared" si="3"/>
        <v>0</v>
      </c>
    </row>
    <row r="10" spans="1:10" x14ac:dyDescent="0.25">
      <c r="A10" s="18" t="s">
        <v>31</v>
      </c>
      <c r="G10" s="19">
        <f t="shared" si="0"/>
        <v>2021</v>
      </c>
      <c r="H10" s="19">
        <f t="shared" si="1"/>
        <v>1</v>
      </c>
      <c r="I10" s="28">
        <f t="shared" si="2"/>
        <v>0</v>
      </c>
      <c r="J10" s="57">
        <f t="shared" si="3"/>
        <v>0</v>
      </c>
    </row>
    <row r="11" spans="1:10" x14ac:dyDescent="0.25">
      <c r="A11" s="17" t="s">
        <v>67</v>
      </c>
      <c r="B11" s="65" t="e">
        <f>NPV($B$17,J4:J29)/(1+$B$17)^(E4-B16+1)</f>
        <v>#VALUE!</v>
      </c>
      <c r="G11" s="20">
        <f t="shared" si="0"/>
        <v>2022</v>
      </c>
      <c r="H11" s="20">
        <f t="shared" si="1"/>
        <v>1</v>
      </c>
      <c r="I11" s="28">
        <f t="shared" si="2"/>
        <v>0</v>
      </c>
      <c r="J11" s="64">
        <f t="shared" si="3"/>
        <v>0</v>
      </c>
    </row>
    <row r="12" spans="1:10" x14ac:dyDescent="0.25">
      <c r="A12" s="17" t="s">
        <v>30</v>
      </c>
      <c r="B12" s="63" t="e">
        <f>B11/B7</f>
        <v>#VALUE!</v>
      </c>
      <c r="G12" s="19">
        <f t="shared" si="0"/>
        <v>2023</v>
      </c>
      <c r="H12" s="19">
        <f t="shared" si="1"/>
        <v>1</v>
      </c>
      <c r="I12" s="28">
        <f t="shared" si="2"/>
        <v>0</v>
      </c>
      <c r="J12" s="57">
        <f t="shared" si="3"/>
        <v>0</v>
      </c>
    </row>
    <row r="13" spans="1:10" x14ac:dyDescent="0.25">
      <c r="G13" s="20">
        <f t="shared" si="0"/>
        <v>2024</v>
      </c>
      <c r="H13" s="20">
        <f t="shared" si="1"/>
        <v>1</v>
      </c>
      <c r="I13" s="28">
        <f t="shared" si="2"/>
        <v>0</v>
      </c>
      <c r="J13" s="64">
        <f t="shared" si="3"/>
        <v>0</v>
      </c>
    </row>
    <row r="14" spans="1:10" x14ac:dyDescent="0.25">
      <c r="G14" s="19">
        <f>G13+1</f>
        <v>2025</v>
      </c>
      <c r="H14" s="19">
        <f t="shared" si="1"/>
        <v>1</v>
      </c>
      <c r="I14" s="28">
        <f t="shared" si="2"/>
        <v>0</v>
      </c>
      <c r="J14" s="57">
        <f t="shared" si="3"/>
        <v>0</v>
      </c>
    </row>
    <row r="15" spans="1:10" x14ac:dyDescent="0.25">
      <c r="A15" s="22" t="s">
        <v>14</v>
      </c>
      <c r="G15" s="20">
        <f t="shared" si="0"/>
        <v>2026</v>
      </c>
      <c r="H15" s="20">
        <f t="shared" si="1"/>
        <v>1</v>
      </c>
      <c r="I15" s="28">
        <f t="shared" si="2"/>
        <v>0</v>
      </c>
      <c r="J15" s="64">
        <f t="shared" si="3"/>
        <v>0</v>
      </c>
    </row>
    <row r="16" spans="1:10" x14ac:dyDescent="0.25">
      <c r="A16" s="23" t="s">
        <v>15</v>
      </c>
      <c r="B16" s="35">
        <f>'Assumed Values'!C5</f>
        <v>2015</v>
      </c>
      <c r="D16" s="22" t="s">
        <v>28</v>
      </c>
      <c r="E16" s="32" t="s">
        <v>23</v>
      </c>
      <c r="G16" s="19">
        <f t="shared" si="0"/>
        <v>2027</v>
      </c>
      <c r="H16" s="19">
        <f t="shared" si="1"/>
        <v>1</v>
      </c>
      <c r="I16" s="28">
        <f t="shared" si="2"/>
        <v>0</v>
      </c>
      <c r="J16" s="57">
        <f t="shared" si="3"/>
        <v>0</v>
      </c>
    </row>
    <row r="17" spans="1:10" x14ac:dyDescent="0.25">
      <c r="A17" s="23" t="s">
        <v>16</v>
      </c>
      <c r="B17" s="24" t="str">
        <f>'Assumed Values'!C6</f>
        <v>3% and 7%</v>
      </c>
      <c r="D17" s="26" t="s">
        <v>64</v>
      </c>
      <c r="E17" s="27">
        <f>E7/E8</f>
        <v>0</v>
      </c>
      <c r="G17" s="20">
        <f t="shared" si="0"/>
        <v>2028</v>
      </c>
      <c r="H17" s="20">
        <f t="shared" si="1"/>
        <v>1</v>
      </c>
      <c r="I17" s="28">
        <f t="shared" si="2"/>
        <v>0</v>
      </c>
      <c r="J17" s="64">
        <f t="shared" si="3"/>
        <v>0</v>
      </c>
    </row>
    <row r="18" spans="1:10" x14ac:dyDescent="0.25">
      <c r="A18" s="23" t="s">
        <v>17</v>
      </c>
      <c r="B18" s="23">
        <f>IF(B6=2,2.1, 1.1)</f>
        <v>1.1000000000000001</v>
      </c>
      <c r="G18" s="19">
        <f t="shared" si="0"/>
        <v>2029</v>
      </c>
      <c r="H18" s="19">
        <f t="shared" si="1"/>
        <v>1</v>
      </c>
      <c r="I18" s="28">
        <f t="shared" si="2"/>
        <v>0</v>
      </c>
      <c r="J18" s="57">
        <f t="shared" si="3"/>
        <v>0</v>
      </c>
    </row>
    <row r="19" spans="1:10" x14ac:dyDescent="0.25">
      <c r="A19" s="23" t="s">
        <v>21</v>
      </c>
      <c r="B19" s="25">
        <f>'Assumed Values'!C15</f>
        <v>16.100000000000001</v>
      </c>
      <c r="G19" s="20">
        <f t="shared" si="0"/>
        <v>2030</v>
      </c>
      <c r="H19" s="20">
        <f t="shared" si="1"/>
        <v>1</v>
      </c>
      <c r="I19" s="28">
        <f t="shared" si="2"/>
        <v>0</v>
      </c>
      <c r="J19" s="64">
        <f t="shared" si="3"/>
        <v>0</v>
      </c>
    </row>
    <row r="20" spans="1:10" x14ac:dyDescent="0.25">
      <c r="A20" s="23" t="s">
        <v>29</v>
      </c>
      <c r="B20" s="23">
        <v>260</v>
      </c>
      <c r="G20" s="19">
        <f t="shared" si="0"/>
        <v>2031</v>
      </c>
      <c r="H20" s="19">
        <f t="shared" si="1"/>
        <v>1</v>
      </c>
      <c r="I20" s="28">
        <f t="shared" si="2"/>
        <v>0</v>
      </c>
      <c r="J20" s="57">
        <f t="shared" si="3"/>
        <v>0</v>
      </c>
    </row>
    <row r="21" spans="1:10" x14ac:dyDescent="0.25">
      <c r="G21" s="20">
        <f t="shared" si="0"/>
        <v>2032</v>
      </c>
      <c r="H21" s="20">
        <f t="shared" si="1"/>
        <v>1</v>
      </c>
      <c r="I21" s="28">
        <f t="shared" si="2"/>
        <v>0</v>
      </c>
      <c r="J21" s="64">
        <f t="shared" si="3"/>
        <v>0</v>
      </c>
    </row>
    <row r="22" spans="1:10" x14ac:dyDescent="0.25">
      <c r="G22" s="19">
        <f t="shared" si="0"/>
        <v>2033</v>
      </c>
      <c r="H22" s="19">
        <f t="shared" si="1"/>
        <v>1</v>
      </c>
      <c r="I22" s="28">
        <f t="shared" si="2"/>
        <v>0</v>
      </c>
      <c r="J22" s="57">
        <f t="shared" si="3"/>
        <v>0</v>
      </c>
    </row>
    <row r="23" spans="1:10" x14ac:dyDescent="0.25">
      <c r="G23" s="20">
        <f t="shared" si="0"/>
        <v>2034</v>
      </c>
      <c r="H23" s="20">
        <f t="shared" si="1"/>
        <v>1</v>
      </c>
      <c r="I23" s="28">
        <f t="shared" si="2"/>
        <v>0</v>
      </c>
      <c r="J23" s="64">
        <f t="shared" si="3"/>
        <v>0</v>
      </c>
    </row>
    <row r="24" spans="1:10" x14ac:dyDescent="0.25">
      <c r="G24" s="19">
        <f t="shared" si="0"/>
        <v>2035</v>
      </c>
      <c r="H24" s="19">
        <f t="shared" si="1"/>
        <v>1</v>
      </c>
      <c r="I24" s="28">
        <f t="shared" si="2"/>
        <v>0</v>
      </c>
      <c r="J24" s="57">
        <f t="shared" si="3"/>
        <v>0</v>
      </c>
    </row>
    <row r="25" spans="1:10" x14ac:dyDescent="0.25">
      <c r="G25" s="20">
        <f t="shared" si="0"/>
        <v>2036</v>
      </c>
      <c r="H25" s="20">
        <f t="shared" si="1"/>
        <v>1</v>
      </c>
      <c r="I25" s="28">
        <f t="shared" si="2"/>
        <v>0</v>
      </c>
      <c r="J25" s="64">
        <f t="shared" ref="J25:J29" si="4">I25*$B$18*$B$19/10^3</f>
        <v>0</v>
      </c>
    </row>
    <row r="26" spans="1:10" x14ac:dyDescent="0.25">
      <c r="G26" s="19">
        <f t="shared" si="0"/>
        <v>2037</v>
      </c>
      <c r="H26" s="19">
        <f t="shared" si="1"/>
        <v>1</v>
      </c>
      <c r="I26" s="28">
        <f t="shared" si="2"/>
        <v>0</v>
      </c>
      <c r="J26" s="57">
        <f t="shared" si="4"/>
        <v>0</v>
      </c>
    </row>
    <row r="27" spans="1:10" x14ac:dyDescent="0.25">
      <c r="G27" s="20">
        <f t="shared" si="0"/>
        <v>2038</v>
      </c>
      <c r="H27" s="20">
        <f t="shared" si="1"/>
        <v>1</v>
      </c>
      <c r="I27" s="28">
        <f t="shared" si="2"/>
        <v>0</v>
      </c>
      <c r="J27" s="64">
        <f t="shared" si="4"/>
        <v>0</v>
      </c>
    </row>
    <row r="28" spans="1:10" x14ac:dyDescent="0.25">
      <c r="G28" s="19">
        <f t="shared" si="0"/>
        <v>2039</v>
      </c>
      <c r="H28" s="19">
        <f t="shared" si="1"/>
        <v>1</v>
      </c>
      <c r="I28" s="28">
        <f t="shared" si="2"/>
        <v>0</v>
      </c>
      <c r="J28" s="57">
        <f t="shared" si="4"/>
        <v>0</v>
      </c>
    </row>
    <row r="29" spans="1:10" x14ac:dyDescent="0.25">
      <c r="A29" s="34"/>
      <c r="G29" s="20">
        <f t="shared" si="0"/>
        <v>2040</v>
      </c>
      <c r="H29" s="20">
        <f t="shared" si="1"/>
        <v>1</v>
      </c>
      <c r="I29" s="28">
        <f t="shared" si="2"/>
        <v>0</v>
      </c>
      <c r="J29" s="64">
        <f t="shared" si="4"/>
        <v>0</v>
      </c>
    </row>
    <row r="51" spans="1:1" x14ac:dyDescent="0.25">
      <c r="A51" t="s">
        <v>24</v>
      </c>
    </row>
    <row r="52" spans="1:1" x14ac:dyDescent="0.25">
      <c r="A52" s="11" t="s">
        <v>26</v>
      </c>
    </row>
    <row r="53" spans="1:1" x14ac:dyDescent="0.25">
      <c r="A53" s="11" t="s">
        <v>25</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14" t="s">
        <v>13</v>
      </c>
      <c r="D3" s="14" t="s">
        <v>53</v>
      </c>
      <c r="E3" s="15" t="s">
        <v>23</v>
      </c>
      <c r="G3" s="21" t="s">
        <v>27</v>
      </c>
      <c r="H3" s="21" t="s">
        <v>62</v>
      </c>
      <c r="I3" s="21" t="s">
        <v>78</v>
      </c>
      <c r="J3" s="21" t="s">
        <v>61</v>
      </c>
      <c r="K3" s="21" t="s">
        <v>79</v>
      </c>
    </row>
    <row r="4" spans="1:11" x14ac:dyDescent="0.25">
      <c r="A4" s="12" t="s">
        <v>18</v>
      </c>
      <c r="B4" s="13"/>
      <c r="D4" s="12" t="s">
        <v>68</v>
      </c>
      <c r="E4" s="68">
        <v>2015</v>
      </c>
      <c r="G4" s="19">
        <f>E4</f>
        <v>2015</v>
      </c>
      <c r="H4" s="60">
        <f t="shared" ref="H4:H24" si="0">IF($G4&lt;($G$4+$E$5),$E$17,0)</f>
        <v>0</v>
      </c>
      <c r="I4" s="59">
        <f>H4*$B$20/10^3</f>
        <v>0</v>
      </c>
      <c r="J4" s="60">
        <f t="shared" ref="J4:J24" si="1">IF($G4&lt;($G$4+$E$5),$E$18,0)</f>
        <v>0</v>
      </c>
      <c r="K4" s="59">
        <f>J4*$B$21/10^3</f>
        <v>0</v>
      </c>
    </row>
    <row r="5" spans="1:11" x14ac:dyDescent="0.25">
      <c r="A5" s="12" t="s">
        <v>19</v>
      </c>
      <c r="B5" s="13"/>
      <c r="D5" s="12" t="s">
        <v>57</v>
      </c>
      <c r="E5" s="16">
        <v>10</v>
      </c>
      <c r="G5" s="20">
        <f t="shared" ref="G5:G29" si="2">G4+1</f>
        <v>2016</v>
      </c>
      <c r="H5" s="60">
        <f t="shared" si="0"/>
        <v>0</v>
      </c>
      <c r="I5" s="61">
        <f t="shared" ref="I5:I24" si="3">H5*$B$20/10^3</f>
        <v>0</v>
      </c>
      <c r="J5" s="60">
        <f t="shared" si="1"/>
        <v>0</v>
      </c>
      <c r="K5" s="61">
        <f t="shared" ref="K5:K24" si="4">J5*$B$21/10^3</f>
        <v>0</v>
      </c>
    </row>
    <row r="6" spans="1:11" x14ac:dyDescent="0.25">
      <c r="A6" s="12" t="s">
        <v>58</v>
      </c>
      <c r="B6" s="13">
        <v>2</v>
      </c>
      <c r="D6" s="175" t="s">
        <v>55</v>
      </c>
      <c r="E6" s="176"/>
      <c r="G6" s="19">
        <f t="shared" si="2"/>
        <v>2017</v>
      </c>
      <c r="H6" s="60">
        <f t="shared" si="0"/>
        <v>0</v>
      </c>
      <c r="I6" s="59">
        <f t="shared" si="3"/>
        <v>0</v>
      </c>
      <c r="J6" s="60">
        <f t="shared" si="1"/>
        <v>0</v>
      </c>
      <c r="K6" s="59">
        <f t="shared" si="4"/>
        <v>0</v>
      </c>
    </row>
    <row r="7" spans="1:11" x14ac:dyDescent="0.25">
      <c r="A7" s="12" t="s">
        <v>71</v>
      </c>
      <c r="B7" s="31"/>
      <c r="D7" s="12" t="s">
        <v>54</v>
      </c>
      <c r="E7" s="16"/>
      <c r="G7" s="20">
        <f t="shared" si="2"/>
        <v>2018</v>
      </c>
      <c r="H7" s="60">
        <f t="shared" si="0"/>
        <v>0</v>
      </c>
      <c r="I7" s="61">
        <f t="shared" si="3"/>
        <v>0</v>
      </c>
      <c r="J7" s="60">
        <f t="shared" si="1"/>
        <v>0</v>
      </c>
      <c r="K7" s="61">
        <f t="shared" si="4"/>
        <v>0</v>
      </c>
    </row>
    <row r="8" spans="1:11" x14ac:dyDescent="0.25">
      <c r="A8" s="30" t="s">
        <v>72</v>
      </c>
      <c r="B8" s="31"/>
      <c r="D8" s="175" t="s">
        <v>56</v>
      </c>
      <c r="E8" s="176"/>
      <c r="G8" s="19">
        <f t="shared" si="2"/>
        <v>2019</v>
      </c>
      <c r="H8" s="60">
        <f t="shared" si="0"/>
        <v>0</v>
      </c>
      <c r="I8" s="59">
        <f t="shared" si="3"/>
        <v>0</v>
      </c>
      <c r="J8" s="60">
        <f t="shared" si="1"/>
        <v>0</v>
      </c>
      <c r="K8" s="59">
        <f t="shared" si="4"/>
        <v>0</v>
      </c>
    </row>
    <row r="9" spans="1:11" x14ac:dyDescent="0.25">
      <c r="D9" s="12" t="s">
        <v>59</v>
      </c>
      <c r="E9" s="16"/>
      <c r="G9" s="20">
        <f t="shared" si="2"/>
        <v>2020</v>
      </c>
      <c r="H9" s="60">
        <f t="shared" si="0"/>
        <v>0</v>
      </c>
      <c r="I9" s="61">
        <f t="shared" si="3"/>
        <v>0</v>
      </c>
      <c r="J9" s="60">
        <f t="shared" si="1"/>
        <v>0</v>
      </c>
      <c r="K9" s="61">
        <f t="shared" si="4"/>
        <v>0</v>
      </c>
    </row>
    <row r="10" spans="1:11" x14ac:dyDescent="0.25">
      <c r="A10" s="18" t="s">
        <v>31</v>
      </c>
      <c r="D10" s="12" t="s">
        <v>60</v>
      </c>
      <c r="E10" s="16"/>
      <c r="G10" s="19">
        <f t="shared" si="2"/>
        <v>2021</v>
      </c>
      <c r="H10" s="60">
        <f t="shared" si="0"/>
        <v>0</v>
      </c>
      <c r="I10" s="59">
        <f t="shared" si="3"/>
        <v>0</v>
      </c>
      <c r="J10" s="60">
        <f t="shared" si="1"/>
        <v>0</v>
      </c>
      <c r="K10" s="59">
        <f t="shared" si="4"/>
        <v>0</v>
      </c>
    </row>
    <row r="11" spans="1:11" x14ac:dyDescent="0.25">
      <c r="A11" s="17" t="s">
        <v>80</v>
      </c>
      <c r="B11" s="62">
        <f>(NPV($B$17,K4:K24)+NPV($B$17,I4:I24))/(1+$B$17)^2</f>
        <v>0</v>
      </c>
      <c r="G11" s="20">
        <f t="shared" si="2"/>
        <v>2022</v>
      </c>
      <c r="H11" s="60">
        <f t="shared" si="0"/>
        <v>0</v>
      </c>
      <c r="I11" s="61">
        <f t="shared" si="3"/>
        <v>0</v>
      </c>
      <c r="J11" s="60">
        <f t="shared" si="1"/>
        <v>0</v>
      </c>
      <c r="K11" s="61">
        <f t="shared" si="4"/>
        <v>0</v>
      </c>
    </row>
    <row r="12" spans="1:11" x14ac:dyDescent="0.25">
      <c r="A12" s="17" t="s">
        <v>30</v>
      </c>
      <c r="B12" s="63" t="e">
        <f>B11/B7</f>
        <v>#DIV/0!</v>
      </c>
      <c r="G12" s="19">
        <f t="shared" si="2"/>
        <v>2023</v>
      </c>
      <c r="H12" s="60">
        <f t="shared" si="0"/>
        <v>0</v>
      </c>
      <c r="I12" s="59">
        <f t="shared" si="3"/>
        <v>0</v>
      </c>
      <c r="J12" s="60">
        <f t="shared" si="1"/>
        <v>0</v>
      </c>
      <c r="K12" s="59">
        <f t="shared" si="4"/>
        <v>0</v>
      </c>
    </row>
    <row r="13" spans="1:11" x14ac:dyDescent="0.25">
      <c r="A13" s="17" t="s">
        <v>81</v>
      </c>
      <c r="B13" s="62" t="e">
        <f>B7*(B17/(1-(1+B17)^(-E5))/(SUM(H4:H29)+SUM(J4:J29)))</f>
        <v>#DIV/0!</v>
      </c>
      <c r="G13" s="20">
        <f t="shared" si="2"/>
        <v>2024</v>
      </c>
      <c r="H13" s="60">
        <f t="shared" si="0"/>
        <v>0</v>
      </c>
      <c r="I13" s="61">
        <f t="shared" si="3"/>
        <v>0</v>
      </c>
      <c r="J13" s="60">
        <f t="shared" si="1"/>
        <v>0</v>
      </c>
      <c r="K13" s="61">
        <f t="shared" si="4"/>
        <v>0</v>
      </c>
    </row>
    <row r="14" spans="1:11" x14ac:dyDescent="0.25">
      <c r="G14" s="19">
        <f>G13+1</f>
        <v>2025</v>
      </c>
      <c r="H14" s="60">
        <f t="shared" si="0"/>
        <v>0</v>
      </c>
      <c r="I14" s="59">
        <f t="shared" si="3"/>
        <v>0</v>
      </c>
      <c r="J14" s="60">
        <f t="shared" si="1"/>
        <v>0</v>
      </c>
      <c r="K14" s="59">
        <f t="shared" si="4"/>
        <v>0</v>
      </c>
    </row>
    <row r="15" spans="1:11" x14ac:dyDescent="0.25">
      <c r="A15" s="22" t="s">
        <v>14</v>
      </c>
      <c r="G15" s="20">
        <f t="shared" si="2"/>
        <v>2026</v>
      </c>
      <c r="H15" s="60">
        <f t="shared" si="0"/>
        <v>0</v>
      </c>
      <c r="I15" s="61">
        <f t="shared" si="3"/>
        <v>0</v>
      </c>
      <c r="J15" s="60">
        <f t="shared" si="1"/>
        <v>0</v>
      </c>
      <c r="K15" s="61">
        <f t="shared" si="4"/>
        <v>0</v>
      </c>
    </row>
    <row r="16" spans="1:11" x14ac:dyDescent="0.25">
      <c r="A16" s="23" t="s">
        <v>15</v>
      </c>
      <c r="B16" s="35">
        <v>2015</v>
      </c>
      <c r="D16" s="22" t="s">
        <v>28</v>
      </c>
      <c r="E16" s="32" t="s">
        <v>23</v>
      </c>
      <c r="G16" s="19">
        <f t="shared" si="2"/>
        <v>2027</v>
      </c>
      <c r="H16" s="60">
        <f t="shared" si="0"/>
        <v>0</v>
      </c>
      <c r="I16" s="59">
        <f t="shared" si="3"/>
        <v>0</v>
      </c>
      <c r="J16" s="60">
        <f t="shared" si="1"/>
        <v>0</v>
      </c>
      <c r="K16" s="59">
        <f t="shared" si="4"/>
        <v>0</v>
      </c>
    </row>
    <row r="17" spans="1:11" x14ac:dyDescent="0.25">
      <c r="A17" s="23" t="s">
        <v>16</v>
      </c>
      <c r="B17" s="24">
        <v>7.0000000000000007E-2</v>
      </c>
      <c r="D17" s="26" t="s">
        <v>59</v>
      </c>
      <c r="E17" s="56">
        <f>IF(E9,E9,$E$7*B18*$B$22/10^6)</f>
        <v>0</v>
      </c>
      <c r="G17" s="20">
        <f t="shared" si="2"/>
        <v>2028</v>
      </c>
      <c r="H17" s="60">
        <f t="shared" si="0"/>
        <v>0</v>
      </c>
      <c r="I17" s="61">
        <f t="shared" si="3"/>
        <v>0</v>
      </c>
      <c r="J17" s="60">
        <f t="shared" si="1"/>
        <v>0</v>
      </c>
      <c r="K17" s="61">
        <f t="shared" si="4"/>
        <v>0</v>
      </c>
    </row>
    <row r="18" spans="1:11" x14ac:dyDescent="0.25">
      <c r="A18" s="23" t="s">
        <v>51</v>
      </c>
      <c r="B18" s="66">
        <f>IF($B$6=2,'Assumed Values'!C21,0)</f>
        <v>0.32340150000000001</v>
      </c>
      <c r="D18" s="26" t="s">
        <v>60</v>
      </c>
      <c r="E18" s="56">
        <f>IF(E10,E10,$E$7*B19*$B$22/10^6)</f>
        <v>0</v>
      </c>
      <c r="G18" s="19">
        <f t="shared" si="2"/>
        <v>2029</v>
      </c>
      <c r="H18" s="60">
        <f t="shared" si="0"/>
        <v>0</v>
      </c>
      <c r="I18" s="59">
        <f t="shared" si="3"/>
        <v>0</v>
      </c>
      <c r="J18" s="60">
        <f t="shared" si="1"/>
        <v>0</v>
      </c>
      <c r="K18" s="59">
        <f t="shared" si="4"/>
        <v>0</v>
      </c>
    </row>
    <row r="19" spans="1:11" x14ac:dyDescent="0.25">
      <c r="A19" s="23" t="s">
        <v>52</v>
      </c>
      <c r="B19" s="66">
        <f>IF($B$6=2,'Assumed Values'!C22,0)</f>
        <v>0.19106300000000001</v>
      </c>
      <c r="G19" s="20">
        <f t="shared" si="2"/>
        <v>2030</v>
      </c>
      <c r="H19" s="60">
        <f t="shared" si="0"/>
        <v>0</v>
      </c>
      <c r="I19" s="61">
        <f t="shared" si="3"/>
        <v>0</v>
      </c>
      <c r="J19" s="60">
        <f t="shared" si="1"/>
        <v>0</v>
      </c>
      <c r="K19" s="61">
        <f t="shared" si="4"/>
        <v>0</v>
      </c>
    </row>
    <row r="20" spans="1:11" x14ac:dyDescent="0.25">
      <c r="A20" s="23" t="s">
        <v>86</v>
      </c>
      <c r="B20" s="58">
        <f>'Assumed Values'!C19</f>
        <v>2083.1541467275511</v>
      </c>
      <c r="G20" s="19">
        <f t="shared" si="2"/>
        <v>2031</v>
      </c>
      <c r="H20" s="60">
        <f t="shared" si="0"/>
        <v>0</v>
      </c>
      <c r="I20" s="59">
        <f t="shared" si="3"/>
        <v>0</v>
      </c>
      <c r="J20" s="60">
        <f t="shared" si="1"/>
        <v>0</v>
      </c>
      <c r="K20" s="59">
        <f t="shared" si="4"/>
        <v>0</v>
      </c>
    </row>
    <row r="21" spans="1:11" x14ac:dyDescent="0.25">
      <c r="A21" s="23" t="s">
        <v>87</v>
      </c>
      <c r="B21" s="58">
        <f>'Assumed Values'!C20</f>
        <v>8208.6069103416321</v>
      </c>
      <c r="G21" s="20">
        <f t="shared" si="2"/>
        <v>2032</v>
      </c>
      <c r="H21" s="60">
        <f t="shared" si="0"/>
        <v>0</v>
      </c>
      <c r="I21" s="61">
        <f t="shared" si="3"/>
        <v>0</v>
      </c>
      <c r="J21" s="60">
        <f t="shared" si="1"/>
        <v>0</v>
      </c>
      <c r="K21" s="61">
        <f t="shared" si="4"/>
        <v>0</v>
      </c>
    </row>
    <row r="22" spans="1:11" x14ac:dyDescent="0.25">
      <c r="A22" s="23" t="s">
        <v>29</v>
      </c>
      <c r="B22" s="23">
        <v>260</v>
      </c>
      <c r="G22" s="19">
        <f t="shared" si="2"/>
        <v>2033</v>
      </c>
      <c r="H22" s="60">
        <f t="shared" si="0"/>
        <v>0</v>
      </c>
      <c r="I22" s="59">
        <f t="shared" si="3"/>
        <v>0</v>
      </c>
      <c r="J22" s="60">
        <f t="shared" si="1"/>
        <v>0</v>
      </c>
      <c r="K22" s="59">
        <f t="shared" si="4"/>
        <v>0</v>
      </c>
    </row>
    <row r="23" spans="1:11" x14ac:dyDescent="0.25">
      <c r="G23" s="20">
        <f t="shared" si="2"/>
        <v>2034</v>
      </c>
      <c r="H23" s="60">
        <f t="shared" si="0"/>
        <v>0</v>
      </c>
      <c r="I23" s="61">
        <f t="shared" si="3"/>
        <v>0</v>
      </c>
      <c r="J23" s="60">
        <f t="shared" si="1"/>
        <v>0</v>
      </c>
      <c r="K23" s="61">
        <f t="shared" si="4"/>
        <v>0</v>
      </c>
    </row>
    <row r="24" spans="1:11" x14ac:dyDescent="0.25">
      <c r="G24" s="19">
        <f t="shared" si="2"/>
        <v>2035</v>
      </c>
      <c r="H24" s="60">
        <f t="shared" si="0"/>
        <v>0</v>
      </c>
      <c r="I24" s="59">
        <f t="shared" si="3"/>
        <v>0</v>
      </c>
      <c r="J24" s="60">
        <f t="shared" si="1"/>
        <v>0</v>
      </c>
      <c r="K24" s="59">
        <f t="shared" si="4"/>
        <v>0</v>
      </c>
    </row>
    <row r="25" spans="1:11" x14ac:dyDescent="0.25">
      <c r="G25" s="20">
        <f t="shared" si="2"/>
        <v>2036</v>
      </c>
      <c r="H25" s="60">
        <f t="shared" ref="H25:H28" si="5">IF($G25&lt;($G$4+$E$5),$E$17,0)</f>
        <v>0</v>
      </c>
      <c r="I25" s="61">
        <f t="shared" ref="I25:I29" si="6">H25*$B$20/10^3</f>
        <v>0</v>
      </c>
      <c r="J25" s="60">
        <f t="shared" ref="J25:J28" si="7">IF($G25&lt;($G$4+$E$5),$E$18,0)</f>
        <v>0</v>
      </c>
      <c r="K25" s="61">
        <f t="shared" ref="K25:K29" si="8">J25*$B$21/10^3</f>
        <v>0</v>
      </c>
    </row>
    <row r="26" spans="1:11" x14ac:dyDescent="0.25">
      <c r="G26" s="19">
        <f t="shared" si="2"/>
        <v>2037</v>
      </c>
      <c r="H26" s="60">
        <f t="shared" si="5"/>
        <v>0</v>
      </c>
      <c r="I26" s="59">
        <f t="shared" si="6"/>
        <v>0</v>
      </c>
      <c r="J26" s="60">
        <f t="shared" si="7"/>
        <v>0</v>
      </c>
      <c r="K26" s="59">
        <f t="shared" si="8"/>
        <v>0</v>
      </c>
    </row>
    <row r="27" spans="1:11" x14ac:dyDescent="0.25">
      <c r="G27" s="20">
        <f t="shared" si="2"/>
        <v>2038</v>
      </c>
      <c r="H27" s="60">
        <f t="shared" si="5"/>
        <v>0</v>
      </c>
      <c r="I27" s="61">
        <f t="shared" si="6"/>
        <v>0</v>
      </c>
      <c r="J27" s="60">
        <f t="shared" si="7"/>
        <v>0</v>
      </c>
      <c r="K27" s="61">
        <f t="shared" si="8"/>
        <v>0</v>
      </c>
    </row>
    <row r="28" spans="1:11" x14ac:dyDescent="0.25">
      <c r="G28" s="19">
        <f t="shared" si="2"/>
        <v>2039</v>
      </c>
      <c r="H28" s="60">
        <f t="shared" si="5"/>
        <v>0</v>
      </c>
      <c r="I28" s="59">
        <f t="shared" si="6"/>
        <v>0</v>
      </c>
      <c r="J28" s="60">
        <f t="shared" si="7"/>
        <v>0</v>
      </c>
      <c r="K28" s="59">
        <f t="shared" si="8"/>
        <v>0</v>
      </c>
    </row>
    <row r="29" spans="1:11" x14ac:dyDescent="0.25">
      <c r="G29" s="20">
        <f t="shared" si="2"/>
        <v>2040</v>
      </c>
      <c r="H29" s="60">
        <f>IF($G29&lt;($G$4+$E$5),$E$17,0)</f>
        <v>0</v>
      </c>
      <c r="I29" s="61">
        <f t="shared" si="6"/>
        <v>0</v>
      </c>
      <c r="J29" s="60">
        <f>IF($G29&lt;($G$4+$E$5),$E$18,0)</f>
        <v>0</v>
      </c>
      <c r="K29" s="61">
        <f t="shared" si="8"/>
        <v>0</v>
      </c>
    </row>
    <row r="31" spans="1:11" x14ac:dyDescent="0.25">
      <c r="A31" s="34"/>
    </row>
    <row r="53" spans="1:1" x14ac:dyDescent="0.25">
      <c r="A53" t="s">
        <v>24</v>
      </c>
    </row>
    <row r="54" spans="1:1" x14ac:dyDescent="0.25">
      <c r="A54" s="11" t="s">
        <v>26</v>
      </c>
    </row>
    <row r="55" spans="1:1" x14ac:dyDescent="0.25">
      <c r="A55" s="11" t="s">
        <v>25</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F50"/>
  <sheetViews>
    <sheetView zoomScale="115" zoomScaleNormal="115" workbookViewId="0">
      <selection activeCell="B10" sqref="B10"/>
    </sheetView>
  </sheetViews>
  <sheetFormatPr defaultRowHeight="15" x14ac:dyDescent="0.25"/>
  <cols>
    <col min="1" max="1" width="45.140625" bestFit="1" customWidth="1"/>
    <col min="2" max="2" width="38.140625" bestFit="1" customWidth="1"/>
    <col min="3" max="3" width="5.28515625" customWidth="1"/>
    <col min="4" max="4" width="23.5703125" customWidth="1"/>
    <col min="5" max="5" width="13.28515625" customWidth="1"/>
    <col min="6" max="6" width="15.28515625" bestFit="1" customWidth="1"/>
    <col min="7" max="7" width="4.5703125" customWidth="1"/>
  </cols>
  <sheetData>
    <row r="3" spans="1:6" ht="18.75" x14ac:dyDescent="0.3">
      <c r="A3" s="82" t="s">
        <v>130</v>
      </c>
      <c r="B3" s="83"/>
      <c r="C3" s="83"/>
      <c r="D3" s="83"/>
      <c r="E3" s="83"/>
      <c r="F3" s="83"/>
    </row>
    <row r="5" spans="1:6" x14ac:dyDescent="0.25">
      <c r="A5" s="14" t="s">
        <v>13</v>
      </c>
      <c r="D5" s="14" t="s">
        <v>117</v>
      </c>
      <c r="E5" s="15" t="s">
        <v>23</v>
      </c>
      <c r="F5" s="15" t="s">
        <v>22</v>
      </c>
    </row>
    <row r="6" spans="1:6" x14ac:dyDescent="0.25">
      <c r="A6" s="12" t="s">
        <v>18</v>
      </c>
      <c r="B6" s="13" t="s">
        <v>133</v>
      </c>
      <c r="D6" s="12" t="s">
        <v>121</v>
      </c>
      <c r="E6" s="16"/>
      <c r="F6" s="16"/>
    </row>
    <row r="7" spans="1:6" x14ac:dyDescent="0.25">
      <c r="A7" s="12" t="s">
        <v>115</v>
      </c>
      <c r="B7" s="88">
        <v>300480</v>
      </c>
      <c r="D7" s="12" t="s">
        <v>119</v>
      </c>
      <c r="E7" s="16"/>
      <c r="F7" s="33"/>
    </row>
    <row r="8" spans="1:6" x14ac:dyDescent="0.25">
      <c r="A8" s="12" t="s">
        <v>116</v>
      </c>
      <c r="B8" s="88" t="s">
        <v>134</v>
      </c>
      <c r="D8" s="12" t="s">
        <v>120</v>
      </c>
      <c r="E8" s="16"/>
      <c r="F8" s="33"/>
    </row>
    <row r="9" spans="1:6" x14ac:dyDescent="0.25">
      <c r="A9" s="12" t="s">
        <v>132</v>
      </c>
      <c r="B9" s="89">
        <v>2018</v>
      </c>
      <c r="D9" s="86" t="s">
        <v>113</v>
      </c>
      <c r="E9" s="87"/>
      <c r="F9" s="33"/>
    </row>
    <row r="10" spans="1:6" x14ac:dyDescent="0.25">
      <c r="D10" s="86" t="s">
        <v>114</v>
      </c>
      <c r="E10" s="87"/>
      <c r="F10" s="33"/>
    </row>
    <row r="11" spans="1:6" x14ac:dyDescent="0.25">
      <c r="D11" s="12" t="s">
        <v>69</v>
      </c>
      <c r="E11" s="16"/>
      <c r="F11" s="33"/>
    </row>
    <row r="12" spans="1:6" x14ac:dyDescent="0.25">
      <c r="D12" s="12" t="s">
        <v>70</v>
      </c>
      <c r="E12" s="16"/>
      <c r="F12" s="33"/>
    </row>
    <row r="14" spans="1:6" ht="18.75" x14ac:dyDescent="0.3">
      <c r="A14" s="82" t="s">
        <v>131</v>
      </c>
      <c r="B14" s="83"/>
      <c r="C14" s="83"/>
      <c r="D14" s="83"/>
      <c r="E14" s="83"/>
      <c r="F14" s="83"/>
    </row>
    <row r="16" spans="1:6" x14ac:dyDescent="0.25">
      <c r="A16" s="18" t="s">
        <v>129</v>
      </c>
    </row>
    <row r="17" spans="1:2" x14ac:dyDescent="0.25">
      <c r="A17" s="17" t="s">
        <v>90</v>
      </c>
      <c r="B17" s="65" t="e">
        <f>NPV(7%,Value_of_Delay_Savings__2015_____000s)/(1+7%)^(2018-2015-1)</f>
        <v>#N/A</v>
      </c>
    </row>
    <row r="18" spans="1:2" x14ac:dyDescent="0.25">
      <c r="A18" s="17" t="s">
        <v>91</v>
      </c>
      <c r="B18" s="65" t="e">
        <f>NPV(3%,Value_of_Delay_Savings__2015_____000s)/(1+3%)^(2018-2015-1)</f>
        <v>#N/A</v>
      </c>
    </row>
    <row r="26" spans="1:2" x14ac:dyDescent="0.25">
      <c r="A26" s="34"/>
    </row>
    <row r="49" spans="1:1" x14ac:dyDescent="0.25">
      <c r="A49" s="11"/>
    </row>
    <row r="50" spans="1:1" x14ac:dyDescent="0.25">
      <c r="A50" s="11"/>
    </row>
  </sheetData>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H41"/>
  <sheetViews>
    <sheetView tabSelected="1" view="pageBreakPreview" topLeftCell="A2" zoomScaleNormal="85" zoomScaleSheetLayoutView="100" workbookViewId="0">
      <selection activeCell="J27" sqref="J27"/>
    </sheetView>
  </sheetViews>
  <sheetFormatPr defaultRowHeight="15" x14ac:dyDescent="0.25"/>
  <cols>
    <col min="1" max="1" width="45.140625" bestFit="1" customWidth="1"/>
    <col min="2" max="2" width="12.5703125" customWidth="1"/>
    <col min="3" max="3" width="5.28515625" customWidth="1"/>
    <col min="4" max="4" width="9.28515625" bestFit="1" customWidth="1"/>
    <col min="5" max="5" width="18.85546875" bestFit="1" customWidth="1"/>
    <col min="6" max="6" width="18.7109375" customWidth="1"/>
    <col min="7" max="7" width="25.5703125" customWidth="1"/>
    <col min="8" max="8" width="38.42578125" bestFit="1" customWidth="1"/>
  </cols>
  <sheetData>
    <row r="3" spans="1:8" x14ac:dyDescent="0.25">
      <c r="A3" s="22" t="s">
        <v>14</v>
      </c>
      <c r="D3" s="21" t="s">
        <v>27</v>
      </c>
      <c r="E3" s="21" t="s">
        <v>33</v>
      </c>
      <c r="F3" s="21" t="s">
        <v>118</v>
      </c>
      <c r="G3" s="21" t="s">
        <v>123</v>
      </c>
      <c r="H3" s="21" t="s">
        <v>88</v>
      </c>
    </row>
    <row r="4" spans="1:8" x14ac:dyDescent="0.25">
      <c r="A4" s="23" t="s">
        <v>15</v>
      </c>
      <c r="B4" s="35">
        <v>2015</v>
      </c>
      <c r="D4" s="97">
        <v>2018</v>
      </c>
      <c r="E4" s="94">
        <f>'Direct Delay Calcs'!$I$12</f>
        <v>50525</v>
      </c>
      <c r="F4" s="84">
        <v>1</v>
      </c>
      <c r="G4" s="85">
        <f t="shared" ref="G4:G36" si="0">Value_of_Travel_Time__VoTT___2015*(1+Real_wage_growth_rate)^(D4-Base_Year)</f>
        <v>16.686583020800001</v>
      </c>
      <c r="H4" s="78">
        <f t="shared" ref="H4:H36" si="1">(E4*F4)*(Vehicle_Occupancy*G4)/10^3</f>
        <v>1112.8782814062145</v>
      </c>
    </row>
    <row r="5" spans="1:8" x14ac:dyDescent="0.25">
      <c r="A5" s="23" t="s">
        <v>17</v>
      </c>
      <c r="B5" s="23">
        <v>1.32</v>
      </c>
      <c r="D5" s="20">
        <f t="shared" ref="D5:D36" si="2">D4+1</f>
        <v>2019</v>
      </c>
      <c r="E5" s="29">
        <f>ROUND(E$4+((E$11-E$4)/7),0)</f>
        <v>52197</v>
      </c>
      <c r="F5" s="84">
        <v>1</v>
      </c>
      <c r="G5" s="85">
        <f t="shared" si="0"/>
        <v>16.8868220170496</v>
      </c>
      <c r="H5" s="78">
        <f t="shared" si="1"/>
        <v>1163.502712447598</v>
      </c>
    </row>
    <row r="6" spans="1:8" x14ac:dyDescent="0.25">
      <c r="A6" s="23" t="s">
        <v>84</v>
      </c>
      <c r="B6" s="25">
        <f>'Assumed Values'!C15</f>
        <v>16.100000000000001</v>
      </c>
      <c r="D6" s="79">
        <f t="shared" si="2"/>
        <v>2020</v>
      </c>
      <c r="E6" s="29">
        <f>ROUND(E$4+((E$11-E$4)*2/7),0)</f>
        <v>53870</v>
      </c>
      <c r="F6" s="84">
        <v>1</v>
      </c>
      <c r="G6" s="85">
        <f t="shared" si="0"/>
        <v>17.089463881254197</v>
      </c>
      <c r="H6" s="78">
        <f t="shared" si="1"/>
        <v>1215.2044334537759</v>
      </c>
    </row>
    <row r="7" spans="1:8" x14ac:dyDescent="0.25">
      <c r="A7" s="23" t="s">
        <v>122</v>
      </c>
      <c r="B7" s="77">
        <v>1.2E-2</v>
      </c>
      <c r="D7" s="20">
        <f t="shared" si="2"/>
        <v>2021</v>
      </c>
      <c r="E7" s="29">
        <f>ROUND(E$4+((E$11-E$4)*3/7),0)</f>
        <v>55542</v>
      </c>
      <c r="F7" s="84">
        <v>1</v>
      </c>
      <c r="G7" s="85">
        <f t="shared" si="0"/>
        <v>17.294537447829242</v>
      </c>
      <c r="H7" s="78">
        <f t="shared" si="1"/>
        <v>1267.9566225840781</v>
      </c>
    </row>
    <row r="8" spans="1:8" x14ac:dyDescent="0.25">
      <c r="A8" s="23" t="s">
        <v>29</v>
      </c>
      <c r="B8" s="157">
        <v>260</v>
      </c>
      <c r="D8" s="79">
        <f t="shared" si="2"/>
        <v>2022</v>
      </c>
      <c r="E8" s="29">
        <f>ROUND(E$4+((E$11-E$4)*4/7),0)</f>
        <v>57215</v>
      </c>
      <c r="F8" s="84">
        <v>1</v>
      </c>
      <c r="G8" s="85">
        <f t="shared" si="0"/>
        <v>17.502071897203198</v>
      </c>
      <c r="H8" s="78">
        <f t="shared" si="1"/>
        <v>1321.8229775499949</v>
      </c>
    </row>
    <row r="9" spans="1:8" x14ac:dyDescent="0.25">
      <c r="A9" s="23" t="s">
        <v>89</v>
      </c>
      <c r="B9" s="23">
        <v>20</v>
      </c>
      <c r="D9" s="20">
        <f t="shared" si="2"/>
        <v>2023</v>
      </c>
      <c r="E9" s="29">
        <f>ROUND(E$4+((E$11-E$4)*5/7),0)</f>
        <v>58887</v>
      </c>
      <c r="F9" s="84">
        <v>1</v>
      </c>
      <c r="G9" s="85">
        <f t="shared" si="0"/>
        <v>17.712096759969636</v>
      </c>
      <c r="H9" s="78">
        <f t="shared" si="1"/>
        <v>1376.7761593137184</v>
      </c>
    </row>
    <row r="10" spans="1:8" x14ac:dyDescent="0.25">
      <c r="D10" s="79">
        <f t="shared" si="2"/>
        <v>2024</v>
      </c>
      <c r="E10" s="29">
        <f>ROUND(E$4+((E$11-E$4)*6/7),0)</f>
        <v>60560</v>
      </c>
      <c r="F10" s="84">
        <v>1</v>
      </c>
      <c r="G10" s="85">
        <f t="shared" si="0"/>
        <v>17.924641921089272</v>
      </c>
      <c r="H10" s="78">
        <f t="shared" si="1"/>
        <v>1432.8815354583396</v>
      </c>
    </row>
    <row r="11" spans="1:8" x14ac:dyDescent="0.25">
      <c r="D11" s="98">
        <f t="shared" si="2"/>
        <v>2025</v>
      </c>
      <c r="E11" s="95">
        <f>'Direct Delay Calcs'!$I$14</f>
        <v>62232</v>
      </c>
      <c r="F11" s="84">
        <v>1</v>
      </c>
      <c r="G11" s="85">
        <f t="shared" si="0"/>
        <v>18.139737624142342</v>
      </c>
      <c r="H11" s="78">
        <f t="shared" si="1"/>
        <v>1490.1112404098267</v>
      </c>
    </row>
    <row r="12" spans="1:8" x14ac:dyDescent="0.25">
      <c r="D12" s="79">
        <f t="shared" si="2"/>
        <v>2026</v>
      </c>
      <c r="E12" s="29">
        <f>ROUND(E$11+((E$26-E$11)*1/15),0)</f>
        <v>63900</v>
      </c>
      <c r="F12" s="84">
        <v>1</v>
      </c>
      <c r="G12" s="85">
        <f t="shared" si="0"/>
        <v>18.357414475632051</v>
      </c>
      <c r="H12" s="78">
        <f t="shared" si="1"/>
        <v>1548.4111961906121</v>
      </c>
    </row>
    <row r="13" spans="1:8" x14ac:dyDescent="0.25">
      <c r="D13" s="20">
        <f t="shared" si="2"/>
        <v>2027</v>
      </c>
      <c r="E13" s="29">
        <f>ROUND(E$11+((E$26-E$11)*2/15),0)</f>
        <v>65569</v>
      </c>
      <c r="F13" s="84">
        <v>1</v>
      </c>
      <c r="G13" s="85">
        <f t="shared" si="0"/>
        <v>18.577703449339634</v>
      </c>
      <c r="H13" s="78">
        <f t="shared" si="1"/>
        <v>1607.9202974600705</v>
      </c>
    </row>
    <row r="14" spans="1:8" x14ac:dyDescent="0.25">
      <c r="D14" s="79">
        <f>D13+1</f>
        <v>2028</v>
      </c>
      <c r="E14" s="29">
        <f>ROUND(E$11+((E$26-E$11)*3/15),0)</f>
        <v>67237</v>
      </c>
      <c r="F14" s="84">
        <v>1</v>
      </c>
      <c r="G14" s="85">
        <f t="shared" si="0"/>
        <v>18.800635890731709</v>
      </c>
      <c r="H14" s="78">
        <f t="shared" si="1"/>
        <v>1668.6098291083688</v>
      </c>
    </row>
    <row r="15" spans="1:8" x14ac:dyDescent="0.25">
      <c r="D15" s="20">
        <f t="shared" si="2"/>
        <v>2029</v>
      </c>
      <c r="E15" s="29">
        <f>ROUND(E$11+((E$26-E$11)*4/15),0)</f>
        <v>68906</v>
      </c>
      <c r="F15" s="84">
        <v>1</v>
      </c>
      <c r="G15" s="85">
        <f t="shared" si="0"/>
        <v>19.026243521420486</v>
      </c>
      <c r="H15" s="78">
        <f t="shared" si="1"/>
        <v>1730.5494836348403</v>
      </c>
    </row>
    <row r="16" spans="1:8" x14ac:dyDescent="0.25">
      <c r="D16" s="79">
        <f t="shared" si="2"/>
        <v>2030</v>
      </c>
      <c r="E16" s="29">
        <f>ROUND(E$11+((E$26-E$11)*5/15),0)</f>
        <v>70574</v>
      </c>
      <c r="F16" s="84">
        <v>1</v>
      </c>
      <c r="G16" s="85">
        <f t="shared" si="0"/>
        <v>19.254558443677539</v>
      </c>
      <c r="H16" s="78">
        <f t="shared" si="1"/>
        <v>1793.7099940374103</v>
      </c>
    </row>
    <row r="17" spans="1:8" x14ac:dyDescent="0.25">
      <c r="A17" s="34"/>
      <c r="D17" s="20">
        <f t="shared" si="2"/>
        <v>2031</v>
      </c>
      <c r="E17" s="29">
        <f>ROUND(E$11+((E$26-E$11)*6/15),0)</f>
        <v>72242</v>
      </c>
      <c r="F17" s="84">
        <v>1</v>
      </c>
      <c r="G17" s="85">
        <f t="shared" si="0"/>
        <v>19.485613145001668</v>
      </c>
      <c r="H17" s="78">
        <f t="shared" si="1"/>
        <v>1858.1371575639978</v>
      </c>
    </row>
    <row r="18" spans="1:8" x14ac:dyDescent="0.25">
      <c r="D18" s="79">
        <f t="shared" si="2"/>
        <v>2032</v>
      </c>
      <c r="E18" s="29">
        <f>ROUND(E$11+((E$26-E$11)*7/15),0)</f>
        <v>73911</v>
      </c>
      <c r="F18" s="84">
        <v>1</v>
      </c>
      <c r="G18" s="85">
        <f t="shared" si="0"/>
        <v>19.719440502741691</v>
      </c>
      <c r="H18" s="78">
        <f t="shared" si="1"/>
        <v>1923.8783084375461</v>
      </c>
    </row>
    <row r="19" spans="1:8" x14ac:dyDescent="0.25">
      <c r="D19" s="20">
        <f t="shared" si="2"/>
        <v>2033</v>
      </c>
      <c r="E19" s="29">
        <f>ROUND(E$11+((E$26-E$11)*8/15),0)</f>
        <v>75579</v>
      </c>
      <c r="F19" s="84">
        <v>1</v>
      </c>
      <c r="G19" s="85">
        <f t="shared" si="0"/>
        <v>19.956073788774585</v>
      </c>
      <c r="H19" s="78">
        <f t="shared" si="1"/>
        <v>1990.9033331639685</v>
      </c>
    </row>
    <row r="20" spans="1:8" x14ac:dyDescent="0.25">
      <c r="D20" s="79">
        <f t="shared" si="2"/>
        <v>2034</v>
      </c>
      <c r="E20" s="29">
        <f>ROUND(E$11+((E$26-E$11)*9/15),0)</f>
        <v>77248</v>
      </c>
      <c r="F20" s="84">
        <v>1</v>
      </c>
      <c r="G20" s="85">
        <f t="shared" si="0"/>
        <v>20.195546674239885</v>
      </c>
      <c r="H20" s="78">
        <f t="shared" si="1"/>
        <v>2059.2865781290216</v>
      </c>
    </row>
    <row r="21" spans="1:8" x14ac:dyDescent="0.25">
      <c r="D21" s="20">
        <f t="shared" si="2"/>
        <v>2035</v>
      </c>
      <c r="E21" s="29">
        <f>ROUND(E$11+((E$26-E$11)*10/15),0)</f>
        <v>78916</v>
      </c>
      <c r="F21" s="84">
        <v>1</v>
      </c>
      <c r="G21" s="85">
        <f t="shared" si="0"/>
        <v>20.437893234330762</v>
      </c>
      <c r="H21" s="78">
        <f t="shared" si="1"/>
        <v>2128.9973528741893</v>
      </c>
    </row>
    <row r="22" spans="1:8" x14ac:dyDescent="0.25">
      <c r="D22" s="79">
        <f>D21+1</f>
        <v>2036</v>
      </c>
      <c r="E22" s="29">
        <f>ROUND(E$11+((E$26-E$11)*11/15),0)</f>
        <v>80584</v>
      </c>
      <c r="F22" s="84">
        <v>1</v>
      </c>
      <c r="G22" s="85">
        <f t="shared" si="0"/>
        <v>20.683147953142733</v>
      </c>
      <c r="H22" s="78">
        <f t="shared" si="1"/>
        <v>2200.0846489459914</v>
      </c>
    </row>
    <row r="23" spans="1:8" x14ac:dyDescent="0.25">
      <c r="D23" s="20">
        <f t="shared" si="2"/>
        <v>2037</v>
      </c>
      <c r="E23" s="29">
        <f>ROUND(E$11+((E$26-E$11)*12/15),0)</f>
        <v>82253</v>
      </c>
      <c r="F23" s="84">
        <v>1</v>
      </c>
      <c r="G23" s="85">
        <f t="shared" si="0"/>
        <v>20.931345728580439</v>
      </c>
      <c r="H23" s="78">
        <f t="shared" si="1"/>
        <v>2272.5990938810637</v>
      </c>
    </row>
    <row r="24" spans="1:8" x14ac:dyDescent="0.25">
      <c r="D24" s="79">
        <f t="shared" si="2"/>
        <v>2038</v>
      </c>
      <c r="E24" s="29">
        <f>ROUND(E$11+((E$26-E$11)*13/15),0)</f>
        <v>83921</v>
      </c>
      <c r="F24" s="84">
        <v>1</v>
      </c>
      <c r="G24" s="85">
        <f t="shared" si="0"/>
        <v>21.18252187732341</v>
      </c>
      <c r="H24" s="78">
        <f t="shared" si="1"/>
        <v>2346.5091123762527</v>
      </c>
    </row>
    <row r="25" spans="1:8" x14ac:dyDescent="0.25">
      <c r="D25" s="20">
        <f t="shared" si="2"/>
        <v>2039</v>
      </c>
      <c r="E25" s="29">
        <f>ROUND(E$11+((E$26-E$11)*14/15),0)</f>
        <v>85590</v>
      </c>
      <c r="F25" s="84">
        <v>0</v>
      </c>
      <c r="G25" s="85">
        <f t="shared" si="0"/>
        <v>21.436712139851288</v>
      </c>
      <c r="H25" s="106">
        <f t="shared" si="1"/>
        <v>0</v>
      </c>
    </row>
    <row r="26" spans="1:8" x14ac:dyDescent="0.25">
      <c r="D26" s="97">
        <f t="shared" si="2"/>
        <v>2040</v>
      </c>
      <c r="E26" s="95">
        <f>'Direct Delay Calcs'!$I$16</f>
        <v>87258</v>
      </c>
      <c r="F26" s="84">
        <v>0</v>
      </c>
      <c r="G26" s="85">
        <f t="shared" si="0"/>
        <v>21.693952685529503</v>
      </c>
      <c r="H26" s="106">
        <f t="shared" si="1"/>
        <v>0</v>
      </c>
    </row>
    <row r="27" spans="1:8" x14ac:dyDescent="0.25">
      <c r="D27" s="20">
        <f t="shared" si="2"/>
        <v>2041</v>
      </c>
      <c r="E27" s="29">
        <f>ROUND(E$11+((E$26-E$11)*16/15),0)</f>
        <v>88926</v>
      </c>
      <c r="F27" s="84">
        <v>0</v>
      </c>
      <c r="G27" s="85">
        <f t="shared" si="0"/>
        <v>21.954280117755857</v>
      </c>
      <c r="H27" s="106">
        <f t="shared" si="1"/>
        <v>0</v>
      </c>
    </row>
    <row r="28" spans="1:8" x14ac:dyDescent="0.25">
      <c r="D28" s="79">
        <f t="shared" si="2"/>
        <v>2042</v>
      </c>
      <c r="E28" s="29">
        <f>ROUND(E$11+((E$26-E$11)*17/15),0)</f>
        <v>90595</v>
      </c>
      <c r="F28" s="84">
        <v>0</v>
      </c>
      <c r="G28" s="85">
        <f t="shared" si="0"/>
        <v>22.217731479168929</v>
      </c>
      <c r="H28" s="106">
        <f t="shared" si="1"/>
        <v>0</v>
      </c>
    </row>
    <row r="29" spans="1:8" x14ac:dyDescent="0.25">
      <c r="D29" s="20">
        <f t="shared" si="2"/>
        <v>2043</v>
      </c>
      <c r="E29" s="29">
        <f>ROUND(E$11+((E$26-E$11)*18/15),0)</f>
        <v>92263</v>
      </c>
      <c r="F29" s="84">
        <v>0</v>
      </c>
      <c r="G29" s="85">
        <f t="shared" si="0"/>
        <v>22.484344256918956</v>
      </c>
      <c r="H29" s="106">
        <f t="shared" si="1"/>
        <v>0</v>
      </c>
    </row>
    <row r="30" spans="1:8" x14ac:dyDescent="0.25">
      <c r="D30" s="20">
        <f t="shared" si="2"/>
        <v>2044</v>
      </c>
      <c r="E30" s="29">
        <f>ROUND(E$11+((E$26-E$11)*19/15),0)</f>
        <v>93932</v>
      </c>
      <c r="F30" s="84">
        <v>0</v>
      </c>
      <c r="G30" s="85">
        <f t="shared" si="0"/>
        <v>22.754156388001981</v>
      </c>
      <c r="H30" s="106">
        <f t="shared" si="1"/>
        <v>0</v>
      </c>
    </row>
    <row r="31" spans="1:8" x14ac:dyDescent="0.25">
      <c r="D31" s="20">
        <f t="shared" si="2"/>
        <v>2045</v>
      </c>
      <c r="E31" s="29">
        <f>ROUND(E$11+((E$26-E$11)*20/15),0)</f>
        <v>95600</v>
      </c>
      <c r="F31" s="84">
        <v>0</v>
      </c>
      <c r="G31" s="85">
        <f t="shared" si="0"/>
        <v>23.027206264658005</v>
      </c>
      <c r="H31" s="106">
        <f t="shared" si="1"/>
        <v>0</v>
      </c>
    </row>
    <row r="32" spans="1:8" x14ac:dyDescent="0.25">
      <c r="D32" s="20">
        <f t="shared" si="2"/>
        <v>2046</v>
      </c>
      <c r="E32" s="29">
        <f>ROUND(E$11+((E$26-E$11)*21/15),0)</f>
        <v>97268</v>
      </c>
      <c r="F32" s="84">
        <v>0</v>
      </c>
      <c r="G32" s="85">
        <f t="shared" si="0"/>
        <v>23.303532739833908</v>
      </c>
      <c r="H32" s="106">
        <f t="shared" si="1"/>
        <v>0</v>
      </c>
    </row>
    <row r="33" spans="1:8" x14ac:dyDescent="0.25">
      <c r="D33" s="20">
        <f t="shared" si="2"/>
        <v>2047</v>
      </c>
      <c r="E33" s="29">
        <f>ROUND(E$11+((E$26-E$11)*22/15),0)</f>
        <v>98937</v>
      </c>
      <c r="F33" s="84">
        <v>0</v>
      </c>
      <c r="G33" s="85">
        <f t="shared" si="0"/>
        <v>23.583175132711911</v>
      </c>
      <c r="H33" s="106">
        <f t="shared" si="1"/>
        <v>0</v>
      </c>
    </row>
    <row r="34" spans="1:8" x14ac:dyDescent="0.25">
      <c r="D34" s="20">
        <f t="shared" si="2"/>
        <v>2048</v>
      </c>
      <c r="E34" s="29">
        <f>ROUND(E$11+((E$26-E$11)*23/15),0)</f>
        <v>100605</v>
      </c>
      <c r="F34" s="84">
        <v>0</v>
      </c>
      <c r="G34" s="85">
        <f t="shared" si="0"/>
        <v>23.866173234304451</v>
      </c>
      <c r="H34" s="106">
        <f t="shared" si="1"/>
        <v>0</v>
      </c>
    </row>
    <row r="35" spans="1:8" x14ac:dyDescent="0.25">
      <c r="D35" s="20">
        <f t="shared" si="2"/>
        <v>2049</v>
      </c>
      <c r="E35" s="29">
        <f>ROUND(E$11+((E$26-E$11)*24/15),0)</f>
        <v>102274</v>
      </c>
      <c r="F35" s="84">
        <v>0</v>
      </c>
      <c r="G35" s="85">
        <f t="shared" si="0"/>
        <v>24.152567313116105</v>
      </c>
      <c r="H35" s="106">
        <f t="shared" si="1"/>
        <v>0</v>
      </c>
    </row>
    <row r="36" spans="1:8" x14ac:dyDescent="0.25">
      <c r="D36" s="20">
        <f t="shared" si="2"/>
        <v>2050</v>
      </c>
      <c r="E36" s="29">
        <f>ROUND(E$11+((E$26-E$11)*25/15),0)</f>
        <v>103942</v>
      </c>
      <c r="F36" s="84">
        <v>0</v>
      </c>
      <c r="G36" s="85">
        <f t="shared" si="0"/>
        <v>24.442398120873499</v>
      </c>
      <c r="H36" s="106">
        <f t="shared" si="1"/>
        <v>0</v>
      </c>
    </row>
    <row r="37" spans="1:8" ht="15.75" thickBot="1" x14ac:dyDescent="0.3"/>
    <row r="38" spans="1:8" x14ac:dyDescent="0.25">
      <c r="G38" s="245" t="s">
        <v>149</v>
      </c>
      <c r="H38" s="244">
        <f>SUM(H4:H36)</f>
        <v>35510.730348426878</v>
      </c>
    </row>
    <row r="39" spans="1:8" ht="15.75" thickBot="1" x14ac:dyDescent="0.3">
      <c r="G39" s="246" t="s">
        <v>187</v>
      </c>
      <c r="H39" s="247">
        <f>ROUND(16015327/1000,2)</f>
        <v>16015.33</v>
      </c>
    </row>
    <row r="40" spans="1:8" ht="15.75" thickBot="1" x14ac:dyDescent="0.3">
      <c r="A40" s="11"/>
      <c r="G40" s="248" t="s">
        <v>30</v>
      </c>
      <c r="H40" s="249">
        <f>ROUND(H38/H39,4)</f>
        <v>2.2172999999999998</v>
      </c>
    </row>
    <row r="41" spans="1:8" x14ac:dyDescent="0.25">
      <c r="A41" s="11"/>
    </row>
  </sheetData>
  <pageMargins left="0.25" right="0.25" top="0.75" bottom="0.75" header="0.3" footer="0.3"/>
  <pageSetup paperSize="1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view="pageBreakPreview" zoomScaleNormal="100" zoomScaleSheetLayoutView="100" workbookViewId="0">
      <selection activeCell="I8" sqref="I8"/>
    </sheetView>
  </sheetViews>
  <sheetFormatPr defaultRowHeight="15" x14ac:dyDescent="0.25"/>
  <cols>
    <col min="1" max="1" width="43.28515625" bestFit="1" customWidth="1"/>
    <col min="2" max="2" width="38.140625" bestFit="1" customWidth="1"/>
    <col min="4" max="4" width="0" hidden="1" customWidth="1"/>
    <col min="6" max="6" width="14.28515625" bestFit="1" customWidth="1"/>
    <col min="7" max="7" width="19.85546875" bestFit="1" customWidth="1"/>
    <col min="8" max="9" width="18.28515625" bestFit="1" customWidth="1"/>
  </cols>
  <sheetData>
    <row r="2" spans="1:11" ht="18.75" x14ac:dyDescent="0.3">
      <c r="A2" s="82" t="s">
        <v>130</v>
      </c>
      <c r="B2" s="83"/>
      <c r="C2" s="83"/>
      <c r="E2" s="90" t="s">
        <v>141</v>
      </c>
      <c r="F2" s="90" t="s">
        <v>142</v>
      </c>
      <c r="G2" s="90" t="s">
        <v>144</v>
      </c>
      <c r="H2" s="90" t="s">
        <v>145</v>
      </c>
      <c r="I2" s="90" t="s">
        <v>143</v>
      </c>
    </row>
    <row r="3" spans="1:11" x14ac:dyDescent="0.25">
      <c r="E3" s="90" t="s">
        <v>27</v>
      </c>
      <c r="F3" s="90" t="s">
        <v>135</v>
      </c>
      <c r="G3" s="90" t="s">
        <v>137</v>
      </c>
      <c r="H3" s="90" t="s">
        <v>140</v>
      </c>
      <c r="I3" s="90" t="s">
        <v>138</v>
      </c>
    </row>
    <row r="4" spans="1:11" x14ac:dyDescent="0.25">
      <c r="A4" s="14" t="s">
        <v>13</v>
      </c>
      <c r="E4" s="91">
        <v>2004</v>
      </c>
      <c r="F4" s="99"/>
      <c r="G4" s="100" t="s">
        <v>139</v>
      </c>
      <c r="H4" s="103">
        <v>12</v>
      </c>
      <c r="I4" s="100"/>
    </row>
    <row r="5" spans="1:11" x14ac:dyDescent="0.25">
      <c r="A5" s="12" t="s">
        <v>18</v>
      </c>
      <c r="B5" s="13" t="s">
        <v>133</v>
      </c>
      <c r="D5">
        <f>SUM(F10-(F12-F10)*((E10-E6)/(E12-E10)))</f>
        <v>20000</v>
      </c>
      <c r="E5" s="99"/>
      <c r="F5" s="99"/>
      <c r="G5" s="100"/>
      <c r="H5" s="92"/>
      <c r="I5" s="100"/>
    </row>
    <row r="6" spans="1:11" x14ac:dyDescent="0.25">
      <c r="A6" s="12" t="s">
        <v>115</v>
      </c>
      <c r="B6" s="88">
        <v>300480</v>
      </c>
      <c r="E6" s="91">
        <v>2013</v>
      </c>
      <c r="F6" s="91" t="s">
        <v>136</v>
      </c>
      <c r="G6" s="104">
        <v>21412</v>
      </c>
      <c r="H6" s="93">
        <f>ROUND((H$4+(H$8-H$4)*(9/10)),1)</f>
        <v>16.7</v>
      </c>
      <c r="I6" s="100"/>
    </row>
    <row r="7" spans="1:11" x14ac:dyDescent="0.25">
      <c r="A7" s="12" t="s">
        <v>116</v>
      </c>
      <c r="B7" s="88" t="s">
        <v>134</v>
      </c>
      <c r="D7">
        <f>ROUND((G10+D5)/2,0)</f>
        <v>20920</v>
      </c>
      <c r="E7" s="99"/>
      <c r="F7" s="99"/>
      <c r="G7" s="100"/>
      <c r="H7" s="92"/>
      <c r="I7" s="100"/>
      <c r="K7" s="3" t="s">
        <v>139</v>
      </c>
    </row>
    <row r="8" spans="1:11" x14ac:dyDescent="0.25">
      <c r="A8" s="12" t="s">
        <v>132</v>
      </c>
      <c r="B8" s="89"/>
      <c r="E8" s="101">
        <v>2014</v>
      </c>
      <c r="F8" s="91" t="s">
        <v>136</v>
      </c>
      <c r="G8" s="92">
        <f>ROUND((G10+G6)/2,0)</f>
        <v>21626</v>
      </c>
      <c r="H8" s="158">
        <f>'Gate Arm Observations'!$AF$121</f>
        <v>17.2</v>
      </c>
      <c r="I8" s="156">
        <f>ROUND(('Gate Arm Observations'!N113*Annual_Days_of_Travel),0)</f>
        <v>42090</v>
      </c>
    </row>
    <row r="9" spans="1:11" x14ac:dyDescent="0.25">
      <c r="E9" s="99"/>
      <c r="F9" s="99"/>
      <c r="G9" s="100"/>
      <c r="H9" s="92"/>
      <c r="I9" s="100"/>
    </row>
    <row r="10" spans="1:11" x14ac:dyDescent="0.25">
      <c r="E10" s="91">
        <v>2015</v>
      </c>
      <c r="F10" s="104">
        <v>20400</v>
      </c>
      <c r="G10" s="92">
        <f>ROUND(G6*(F10/D5),0)</f>
        <v>21840</v>
      </c>
      <c r="H10" s="93">
        <f>ROUND((H$4+(H$8-H$4)*(11/10)),1)</f>
        <v>17.7</v>
      </c>
      <c r="I10" s="92">
        <f>ROUND(((H10/H8)*I8*(G10/G$8)),0)</f>
        <v>43742</v>
      </c>
    </row>
    <row r="11" spans="1:11" x14ac:dyDescent="0.25">
      <c r="E11" s="99"/>
      <c r="F11" s="102"/>
      <c r="G11" s="100"/>
      <c r="H11" s="92"/>
      <c r="I11" s="100"/>
    </row>
    <row r="12" spans="1:11" x14ac:dyDescent="0.25">
      <c r="E12" s="155">
        <v>2018</v>
      </c>
      <c r="F12" s="104">
        <v>21000</v>
      </c>
      <c r="G12" s="92">
        <f>ROUND(G10*(F12/F10),0)</f>
        <v>22482</v>
      </c>
      <c r="H12" s="93">
        <f>ROUND((H$4+(H$8-H$4)*(14/10)),1)</f>
        <v>19.3</v>
      </c>
      <c r="I12" s="96">
        <f>ROUND((H12/H8)*(I10*(G12/G$10)),0)</f>
        <v>50525</v>
      </c>
    </row>
    <row r="13" spans="1:11" x14ac:dyDescent="0.25">
      <c r="E13" s="99"/>
      <c r="F13" s="102"/>
      <c r="G13" s="100"/>
      <c r="H13" s="92"/>
      <c r="I13" s="100"/>
    </row>
    <row r="14" spans="1:11" x14ac:dyDescent="0.25">
      <c r="E14" s="155">
        <v>2025</v>
      </c>
      <c r="F14" s="104">
        <v>21800</v>
      </c>
      <c r="G14" s="92">
        <f>ROUND(G12*(F14/F12),0)</f>
        <v>23338</v>
      </c>
      <c r="H14" s="93">
        <f>ROUND((H$4+(H$8-H$4)*(21/10)),1)</f>
        <v>22.9</v>
      </c>
      <c r="I14" s="96">
        <f>ROUND((H14/H8)*(I10*(G14/G$10)),0)</f>
        <v>62232</v>
      </c>
    </row>
    <row r="15" spans="1:11" x14ac:dyDescent="0.25">
      <c r="E15" s="99"/>
      <c r="F15" s="102"/>
      <c r="G15" s="100"/>
      <c r="H15" s="92"/>
      <c r="I15" s="100"/>
      <c r="J15" t="s">
        <v>139</v>
      </c>
      <c r="K15" t="s">
        <v>139</v>
      </c>
    </row>
    <row r="16" spans="1:11" x14ac:dyDescent="0.25">
      <c r="E16" s="155">
        <v>2040</v>
      </c>
      <c r="F16" s="104">
        <v>22800</v>
      </c>
      <c r="G16" s="92">
        <f>ROUND(G14*(F16/F14),0)</f>
        <v>24409</v>
      </c>
      <c r="H16" s="93">
        <f>ROUND((H$4+(H$8-H$4)*(36/10)),1)</f>
        <v>30.7</v>
      </c>
      <c r="I16" s="96">
        <f>ROUND((H16/H8)*(I10*(G16/G$10)),0)</f>
        <v>87258</v>
      </c>
    </row>
    <row r="18" spans="4:6" x14ac:dyDescent="0.25">
      <c r="E18" s="105" t="s">
        <v>146</v>
      </c>
      <c r="F18" s="170" t="s">
        <v>148</v>
      </c>
    </row>
    <row r="19" spans="4:6" x14ac:dyDescent="0.25">
      <c r="E19" s="105" t="s">
        <v>147</v>
      </c>
      <c r="F19" s="171" t="s">
        <v>169</v>
      </c>
    </row>
    <row r="20" spans="4:6" x14ac:dyDescent="0.25">
      <c r="D20" t="s">
        <v>139</v>
      </c>
      <c r="F20" s="172" t="s">
        <v>171</v>
      </c>
    </row>
    <row r="21" spans="4:6" x14ac:dyDescent="0.25">
      <c r="D21" t="s">
        <v>139</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3"/>
  <sheetViews>
    <sheetView topLeftCell="A85" zoomScaleNormal="100" zoomScaleSheetLayoutView="100" workbookViewId="0">
      <selection activeCell="P104" sqref="P104"/>
    </sheetView>
  </sheetViews>
  <sheetFormatPr defaultRowHeight="15" x14ac:dyDescent="0.25"/>
  <cols>
    <col min="1" max="1" width="11.42578125" bestFit="1" customWidth="1"/>
    <col min="8" max="8" width="12" customWidth="1"/>
    <col min="12" max="12" width="9.42578125" bestFit="1" customWidth="1"/>
    <col min="13" max="13" width="11.42578125" bestFit="1" customWidth="1"/>
    <col min="14" max="14" width="13.28515625" bestFit="1" customWidth="1"/>
    <col min="15" max="15" width="12" customWidth="1"/>
    <col min="16" max="16" width="12.5703125" customWidth="1"/>
    <col min="23" max="23" width="10.85546875" customWidth="1"/>
    <col min="24" max="24" width="7.42578125" customWidth="1"/>
    <col min="25" max="25" width="8.140625" customWidth="1"/>
    <col min="26" max="26" width="8.28515625" customWidth="1"/>
    <col min="27" max="27" width="11.42578125" bestFit="1" customWidth="1"/>
    <col min="28" max="28" width="9" customWidth="1"/>
    <col min="29" max="29" width="8.7109375" bestFit="1" customWidth="1"/>
    <col min="30" max="30" width="8.7109375" customWidth="1"/>
    <col min="32" max="32" width="10.5703125" bestFit="1" customWidth="1"/>
  </cols>
  <sheetData>
    <row r="1" spans="1:19" ht="21" x14ac:dyDescent="0.35">
      <c r="A1" s="173" t="s">
        <v>170</v>
      </c>
    </row>
    <row r="3" spans="1:19" x14ac:dyDescent="0.25">
      <c r="B3" s="107" t="s">
        <v>150</v>
      </c>
      <c r="C3" s="190"/>
    </row>
    <row r="4" spans="1:19" x14ac:dyDescent="0.25">
      <c r="A4" s="108">
        <v>41770</v>
      </c>
      <c r="B4" s="109">
        <v>6.3657407407407402E-4</v>
      </c>
      <c r="C4" s="197"/>
    </row>
    <row r="5" spans="1:19" x14ac:dyDescent="0.25">
      <c r="A5" s="73" t="s">
        <v>151</v>
      </c>
      <c r="B5" s="109">
        <v>1.712962962962963E-3</v>
      </c>
      <c r="C5" s="197"/>
    </row>
    <row r="6" spans="1:19" x14ac:dyDescent="0.25">
      <c r="A6" s="73"/>
      <c r="B6" s="109">
        <v>6.018518518518519E-4</v>
      </c>
      <c r="C6" s="197"/>
    </row>
    <row r="7" spans="1:19" x14ac:dyDescent="0.25">
      <c r="A7" s="73"/>
      <c r="B7" s="109">
        <v>5.6828703703703702E-3</v>
      </c>
      <c r="C7" s="197"/>
    </row>
    <row r="8" spans="1:19" x14ac:dyDescent="0.25">
      <c r="A8" s="73"/>
      <c r="B8" s="109">
        <v>4.0277777777777777E-3</v>
      </c>
      <c r="C8" s="197"/>
    </row>
    <row r="9" spans="1:19" x14ac:dyDescent="0.25">
      <c r="A9" s="73"/>
      <c r="B9" s="109">
        <v>5.6481481481481478E-3</v>
      </c>
      <c r="C9" s="197"/>
    </row>
    <row r="10" spans="1:19" x14ac:dyDescent="0.25">
      <c r="A10" s="73"/>
      <c r="B10" s="109">
        <v>7.2685185185185188E-3</v>
      </c>
      <c r="C10" s="197"/>
    </row>
    <row r="11" spans="1:19" x14ac:dyDescent="0.25">
      <c r="A11" s="73"/>
      <c r="B11" s="109">
        <v>5.2662037037037035E-3</v>
      </c>
      <c r="C11" s="197"/>
    </row>
    <row r="12" spans="1:19" ht="15.75" thickBot="1" x14ac:dyDescent="0.3">
      <c r="A12" s="73"/>
      <c r="B12" s="109">
        <v>9.8495370370370369E-3</v>
      </c>
      <c r="C12" s="197"/>
    </row>
    <row r="13" spans="1:19" x14ac:dyDescent="0.25">
      <c r="A13" s="73"/>
      <c r="B13" s="109">
        <v>2.2222222222222222E-3</v>
      </c>
      <c r="C13" s="197"/>
      <c r="R13" s="110" t="s">
        <v>151</v>
      </c>
      <c r="S13" s="111"/>
    </row>
    <row r="14" spans="1:19" x14ac:dyDescent="0.25">
      <c r="A14" s="73"/>
      <c r="B14" s="109">
        <v>6.5972222222222213E-4</v>
      </c>
      <c r="C14" s="197"/>
      <c r="R14" s="112" t="s">
        <v>152</v>
      </c>
      <c r="S14" s="113">
        <f>COUNT(B4:B19)</f>
        <v>16</v>
      </c>
    </row>
    <row r="15" spans="1:19" x14ac:dyDescent="0.25">
      <c r="A15" s="73"/>
      <c r="B15" s="109">
        <v>4.5023148148148149E-3</v>
      </c>
      <c r="C15" s="197"/>
      <c r="R15" s="114"/>
      <c r="S15" s="115"/>
    </row>
    <row r="16" spans="1:19" x14ac:dyDescent="0.25">
      <c r="A16" s="73"/>
      <c r="B16" s="109">
        <v>6.2499999999999995E-3</v>
      </c>
      <c r="C16" s="197"/>
      <c r="R16" s="114"/>
      <c r="S16" s="116" t="s">
        <v>150</v>
      </c>
    </row>
    <row r="17" spans="1:23" x14ac:dyDescent="0.25">
      <c r="A17" s="73"/>
      <c r="B17" s="109">
        <v>1.2175925925925929E-2</v>
      </c>
      <c r="C17" s="197"/>
      <c r="R17" s="112" t="s">
        <v>153</v>
      </c>
      <c r="S17" s="117">
        <f>AVERAGE(B4:B19)</f>
        <v>5.3682002314814816E-3</v>
      </c>
    </row>
    <row r="18" spans="1:23" x14ac:dyDescent="0.25">
      <c r="A18" s="73"/>
      <c r="B18" s="109">
        <v>8.0671296296296307E-3</v>
      </c>
      <c r="C18" s="197"/>
      <c r="R18" s="112" t="s">
        <v>154</v>
      </c>
      <c r="S18" s="117">
        <f>MAX(B4:B19)</f>
        <v>1.2175925925925929E-2</v>
      </c>
    </row>
    <row r="19" spans="1:23" ht="15.75" thickBot="1" x14ac:dyDescent="0.3">
      <c r="A19" s="73"/>
      <c r="B19" s="109">
        <v>1.1319444444444444E-2</v>
      </c>
      <c r="C19" s="197"/>
      <c r="R19" s="118" t="s">
        <v>155</v>
      </c>
      <c r="S19" s="119">
        <f>MIN(B4:B19)</f>
        <v>6.018518518518519E-4</v>
      </c>
    </row>
    <row r="20" spans="1:23" ht="15.75" thickBot="1" x14ac:dyDescent="0.3">
      <c r="A20" s="122"/>
      <c r="B20" s="197"/>
      <c r="C20" s="197"/>
      <c r="R20" s="122"/>
      <c r="S20" s="197"/>
    </row>
    <row r="21" spans="1:23" ht="18.75" x14ac:dyDescent="0.3">
      <c r="C21" s="209" t="s">
        <v>182</v>
      </c>
      <c r="D21" s="236" t="s">
        <v>156</v>
      </c>
      <c r="E21" s="200"/>
      <c r="F21" s="199" t="s">
        <v>174</v>
      </c>
      <c r="G21" s="199"/>
      <c r="H21" s="215" t="s">
        <v>175</v>
      </c>
      <c r="I21" s="216"/>
      <c r="J21" s="215" t="s">
        <v>176</v>
      </c>
      <c r="K21" s="222"/>
      <c r="L21" s="223"/>
      <c r="M21" s="188"/>
      <c r="O21" s="201" t="s">
        <v>185</v>
      </c>
      <c r="P21" s="202"/>
    </row>
    <row r="22" spans="1:23" ht="15" customHeight="1" thickBot="1" x14ac:dyDescent="0.3">
      <c r="C22" s="210" t="s">
        <v>173</v>
      </c>
      <c r="D22" s="237"/>
      <c r="E22" s="205"/>
      <c r="F22" s="204"/>
      <c r="G22" s="204"/>
      <c r="H22" s="217" t="s">
        <v>172</v>
      </c>
      <c r="I22" s="218"/>
      <c r="J22" s="217" t="s">
        <v>177</v>
      </c>
      <c r="K22" s="203"/>
      <c r="L22" s="227"/>
      <c r="M22" s="189"/>
      <c r="O22" s="203" t="s">
        <v>186</v>
      </c>
      <c r="P22" s="203"/>
    </row>
    <row r="23" spans="1:23" x14ac:dyDescent="0.25">
      <c r="B23" s="120"/>
      <c r="C23" s="210"/>
      <c r="D23" s="238" t="s">
        <v>157</v>
      </c>
      <c r="E23" s="206" t="s">
        <v>158</v>
      </c>
      <c r="F23" s="208" t="s">
        <v>157</v>
      </c>
      <c r="G23" s="214" t="s">
        <v>158</v>
      </c>
      <c r="H23" s="219" t="s">
        <v>157</v>
      </c>
      <c r="I23" s="220" t="s">
        <v>158</v>
      </c>
      <c r="J23" s="224" t="s">
        <v>178</v>
      </c>
      <c r="K23" s="225" t="s">
        <v>179</v>
      </c>
      <c r="L23" s="209" t="s">
        <v>183</v>
      </c>
      <c r="M23" s="228"/>
      <c r="O23" s="207" t="s">
        <v>157</v>
      </c>
      <c r="P23" s="207" t="s">
        <v>158</v>
      </c>
    </row>
    <row r="24" spans="1:23" x14ac:dyDescent="0.25">
      <c r="A24" s="108">
        <v>41771</v>
      </c>
      <c r="B24" s="145">
        <v>4.3055555555555555E-3</v>
      </c>
      <c r="C24" s="211">
        <v>6.2</v>
      </c>
      <c r="D24" s="112">
        <v>107</v>
      </c>
      <c r="E24" s="73"/>
      <c r="F24" s="148">
        <f>SUM(D24*(2/25))</f>
        <v>8.56</v>
      </c>
      <c r="G24" s="149">
        <f t="shared" ref="G24:G87" si="0">SUM(E24*(2/25))</f>
        <v>0</v>
      </c>
      <c r="H24" s="112">
        <f>ROUND(F24/$C24,2)</f>
        <v>1.38</v>
      </c>
      <c r="I24" s="113">
        <f>ROUND(G24/$C24,2)</f>
        <v>0</v>
      </c>
      <c r="J24" s="112">
        <f>ROUND(0.5*(H24*$C24*$C24)/(1-H24/70),2)</f>
        <v>27.06</v>
      </c>
      <c r="K24" s="149">
        <f>ROUND(0.5*(I24*$C24*$C24)/(1-I24/70),2)</f>
        <v>0</v>
      </c>
      <c r="L24" s="139">
        <f>ROUND((J24+K24)/60,4)</f>
        <v>0.45100000000000001</v>
      </c>
      <c r="M24" s="229"/>
      <c r="O24" s="174">
        <f>ROUND((J24/F24),2)</f>
        <v>3.16</v>
      </c>
      <c r="P24" s="174" t="s">
        <v>139</v>
      </c>
    </row>
    <row r="25" spans="1:23" x14ac:dyDescent="0.25">
      <c r="A25" s="73" t="s">
        <v>159</v>
      </c>
      <c r="B25" s="145">
        <v>6.8287037037037025E-4</v>
      </c>
      <c r="C25" s="211">
        <v>0.98</v>
      </c>
      <c r="D25" s="112"/>
      <c r="E25" s="73"/>
      <c r="F25" s="148">
        <f t="shared" ref="F25:F88" si="1">SUM(D25*(2/25))</f>
        <v>0</v>
      </c>
      <c r="G25" s="149">
        <f t="shared" si="0"/>
        <v>0</v>
      </c>
      <c r="H25" s="112">
        <f>ROUND(F25/$C25,2)</f>
        <v>0</v>
      </c>
      <c r="I25" s="113">
        <f>ROUND(G25/$C25,2)</f>
        <v>0</v>
      </c>
      <c r="J25" s="112">
        <f>ROUND(0.5*(H25*$C25*$C25)/(1-H25/70),2)</f>
        <v>0</v>
      </c>
      <c r="K25" s="149">
        <f>ROUND(0.5*(I25*$C25*$C25)/(1-I25/70),2)</f>
        <v>0</v>
      </c>
      <c r="L25" s="139">
        <f t="shared" ref="L25:L36" si="2">ROUND((J25+K25)/60,4)</f>
        <v>0</v>
      </c>
      <c r="M25" s="229"/>
      <c r="O25" s="174" t="s">
        <v>139</v>
      </c>
      <c r="P25" s="174" t="s">
        <v>139</v>
      </c>
    </row>
    <row r="26" spans="1:23" x14ac:dyDescent="0.25">
      <c r="A26" s="73"/>
      <c r="B26" s="145">
        <v>1.1724537037037035E-2</v>
      </c>
      <c r="C26" s="211">
        <v>16.88</v>
      </c>
      <c r="D26" s="112">
        <v>149</v>
      </c>
      <c r="E26" s="73">
        <v>355</v>
      </c>
      <c r="F26" s="148">
        <f t="shared" si="1"/>
        <v>11.92</v>
      </c>
      <c r="G26" s="149">
        <f t="shared" si="0"/>
        <v>28.400000000000002</v>
      </c>
      <c r="H26" s="112">
        <f>ROUND(F26/$C26,2)</f>
        <v>0.71</v>
      </c>
      <c r="I26" s="113">
        <f>ROUND(G26/$C26,2)</f>
        <v>1.68</v>
      </c>
      <c r="J26" s="112">
        <f>ROUND(0.5*(H26*$C26*$C26)/(1-H26/70),2)</f>
        <v>102.19</v>
      </c>
      <c r="K26" s="149">
        <f>ROUND(0.5*(I26*$C26*$C26)/(1-I26/70),2)</f>
        <v>245.23</v>
      </c>
      <c r="L26" s="139">
        <f t="shared" si="2"/>
        <v>5.7903000000000002</v>
      </c>
      <c r="M26" s="4"/>
      <c r="O26" s="174">
        <f t="shared" ref="O26:O36" si="3">ROUND((J26/F26),2)</f>
        <v>8.57</v>
      </c>
      <c r="P26" s="174">
        <f t="shared" ref="P26:P36" si="4">ROUND((K26/G26),2)</f>
        <v>8.6300000000000008</v>
      </c>
    </row>
    <row r="27" spans="1:23" x14ac:dyDescent="0.25">
      <c r="A27" s="73"/>
      <c r="B27" s="145">
        <v>7.4768518518518526E-3</v>
      </c>
      <c r="C27" s="211">
        <v>10.77</v>
      </c>
      <c r="D27" s="112"/>
      <c r="E27" s="73">
        <v>42</v>
      </c>
      <c r="F27" s="148">
        <f t="shared" si="1"/>
        <v>0</v>
      </c>
      <c r="G27" s="149">
        <f t="shared" si="0"/>
        <v>3.36</v>
      </c>
      <c r="H27" s="112">
        <f>ROUND(F27/$C27,2)</f>
        <v>0</v>
      </c>
      <c r="I27" s="113">
        <f>ROUND(G27/$C27,2)</f>
        <v>0.31</v>
      </c>
      <c r="J27" s="112">
        <f>ROUND(0.5*(H27*$C27*$C27)/(1-H27/70),2)</f>
        <v>0</v>
      </c>
      <c r="K27" s="149">
        <f>ROUND(0.5*(I27*$C27*$C27)/(1-I27/70),2)</f>
        <v>18.059999999999999</v>
      </c>
      <c r="L27" s="139">
        <f t="shared" si="2"/>
        <v>0.30099999999999999</v>
      </c>
      <c r="M27" s="4"/>
      <c r="O27" s="174" t="s">
        <v>139</v>
      </c>
      <c r="P27" s="174">
        <f t="shared" si="4"/>
        <v>5.38</v>
      </c>
    </row>
    <row r="28" spans="1:23" x14ac:dyDescent="0.25">
      <c r="A28" s="73"/>
      <c r="B28" s="145">
        <v>1.1574074074074073E-3</v>
      </c>
      <c r="C28" s="211">
        <v>1.67</v>
      </c>
      <c r="D28" s="112"/>
      <c r="E28" s="73"/>
      <c r="F28" s="148">
        <f t="shared" si="1"/>
        <v>0</v>
      </c>
      <c r="G28" s="149">
        <f t="shared" si="0"/>
        <v>0</v>
      </c>
      <c r="H28" s="112">
        <f>ROUND(F28/$C28,2)</f>
        <v>0</v>
      </c>
      <c r="I28" s="113">
        <f>ROUND(G28/$C28,2)</f>
        <v>0</v>
      </c>
      <c r="J28" s="112">
        <f>ROUND(0.5*(H28*$C28*$C28)/(1-H28/70),2)</f>
        <v>0</v>
      </c>
      <c r="K28" s="149">
        <f>ROUND(0.5*(I28*$C28*$C28)/(1-I28/70),2)</f>
        <v>0</v>
      </c>
      <c r="L28" s="139">
        <f t="shared" si="2"/>
        <v>0</v>
      </c>
      <c r="M28" s="4"/>
      <c r="O28" s="174" t="s">
        <v>139</v>
      </c>
      <c r="P28" s="174" t="s">
        <v>139</v>
      </c>
    </row>
    <row r="29" spans="1:23" ht="15.75" thickBot="1" x14ac:dyDescent="0.3">
      <c r="A29" s="73"/>
      <c r="B29" s="145">
        <v>9.0277777777777784E-4</v>
      </c>
      <c r="C29" s="211">
        <v>1.3</v>
      </c>
      <c r="D29" s="112">
        <v>107</v>
      </c>
      <c r="E29" s="73">
        <v>364</v>
      </c>
      <c r="F29" s="148">
        <f t="shared" si="1"/>
        <v>8.56</v>
      </c>
      <c r="G29" s="149">
        <f t="shared" si="0"/>
        <v>29.12</v>
      </c>
      <c r="H29" s="112">
        <f>ROUND(F29/$C29,2)</f>
        <v>6.58</v>
      </c>
      <c r="I29" s="113">
        <f>ROUND(G29/$C29,2)</f>
        <v>22.4</v>
      </c>
      <c r="J29" s="112">
        <f>ROUND(0.5*(H29*$C29*$C29)/(1-H29/70),2)</f>
        <v>6.14</v>
      </c>
      <c r="K29" s="149">
        <f>ROUND(0.5*(I29*$C29*$C29)/(1-I29/70),2)</f>
        <v>27.84</v>
      </c>
      <c r="L29" s="139">
        <f t="shared" si="2"/>
        <v>0.56630000000000003</v>
      </c>
      <c r="M29" s="4"/>
      <c r="O29" s="174">
        <f t="shared" si="3"/>
        <v>0.72</v>
      </c>
      <c r="P29" s="174">
        <f t="shared" si="4"/>
        <v>0.96</v>
      </c>
    </row>
    <row r="30" spans="1:23" x14ac:dyDescent="0.25">
      <c r="A30" s="73"/>
      <c r="B30" s="145">
        <v>8.5763888888888886E-3</v>
      </c>
      <c r="C30" s="211">
        <v>12.35</v>
      </c>
      <c r="D30" s="112">
        <v>3138</v>
      </c>
      <c r="E30" s="160">
        <v>3000</v>
      </c>
      <c r="F30" s="148">
        <f t="shared" si="1"/>
        <v>251.04</v>
      </c>
      <c r="G30" s="163">
        <f t="shared" si="0"/>
        <v>240</v>
      </c>
      <c r="H30" s="112">
        <f>ROUND(F30/$C30,2)</f>
        <v>20.329999999999998</v>
      </c>
      <c r="I30" s="221">
        <f>ROUND(G30/$C30,2)</f>
        <v>19.43</v>
      </c>
      <c r="J30" s="112">
        <f>ROUND(0.5*(H30*$C30*$C30)/(1-H30/70),2)</f>
        <v>2184.9699999999998</v>
      </c>
      <c r="K30" s="226">
        <f>ROUND(0.5*(I30*$C30*$C30)/(1-I30/70),2)</f>
        <v>2051.08</v>
      </c>
      <c r="L30" s="168">
        <f t="shared" si="2"/>
        <v>70.600800000000007</v>
      </c>
      <c r="M30" s="4"/>
      <c r="O30" s="174">
        <f t="shared" si="3"/>
        <v>8.6999999999999993</v>
      </c>
      <c r="P30" s="174">
        <f t="shared" si="4"/>
        <v>8.5500000000000007</v>
      </c>
      <c r="R30" s="110" t="s">
        <v>159</v>
      </c>
      <c r="S30" s="121"/>
      <c r="T30" s="121"/>
      <c r="U30" s="121"/>
      <c r="V30" s="121"/>
      <c r="W30" s="111"/>
    </row>
    <row r="31" spans="1:23" x14ac:dyDescent="0.25">
      <c r="A31" s="73"/>
      <c r="B31" s="145">
        <v>1.736111111111111E-3</v>
      </c>
      <c r="C31" s="211">
        <v>2.5</v>
      </c>
      <c r="D31" s="112">
        <v>332</v>
      </c>
      <c r="E31" s="73">
        <v>483</v>
      </c>
      <c r="F31" s="148">
        <f t="shared" si="1"/>
        <v>26.560000000000002</v>
      </c>
      <c r="G31" s="149">
        <f t="shared" si="0"/>
        <v>38.64</v>
      </c>
      <c r="H31" s="112">
        <f>ROUND(F31/$C31,2)</f>
        <v>10.62</v>
      </c>
      <c r="I31" s="113">
        <f>ROUND(G31/$C31,2)</f>
        <v>15.46</v>
      </c>
      <c r="J31" s="112">
        <f>ROUND(0.5*(H31*$C31*$C31)/(1-H31/70),2)</f>
        <v>39.119999999999997</v>
      </c>
      <c r="K31" s="149">
        <f>ROUND(0.5*(I31*$C31*$C31)/(1-I31/70),2)</f>
        <v>62.01</v>
      </c>
      <c r="L31" s="139">
        <f t="shared" si="2"/>
        <v>1.6855</v>
      </c>
      <c r="M31" s="4"/>
      <c r="O31" s="174">
        <f t="shared" si="3"/>
        <v>1.47</v>
      </c>
      <c r="P31" s="174">
        <f t="shared" si="4"/>
        <v>1.6</v>
      </c>
      <c r="R31" s="112" t="s">
        <v>152</v>
      </c>
      <c r="S31" s="73">
        <f>COUNT(B24:B36)</f>
        <v>13</v>
      </c>
      <c r="T31" s="122"/>
      <c r="U31" s="122"/>
      <c r="V31" s="122"/>
      <c r="W31" s="115"/>
    </row>
    <row r="32" spans="1:23" x14ac:dyDescent="0.25">
      <c r="A32" s="73"/>
      <c r="B32" s="145">
        <v>2.9976851851851848E-3</v>
      </c>
      <c r="C32" s="211">
        <v>4.32</v>
      </c>
      <c r="D32" s="112">
        <v>1068</v>
      </c>
      <c r="E32" s="73">
        <v>696</v>
      </c>
      <c r="F32" s="148">
        <f t="shared" si="1"/>
        <v>85.44</v>
      </c>
      <c r="G32" s="149">
        <f t="shared" si="0"/>
        <v>55.68</v>
      </c>
      <c r="H32" s="112">
        <f>ROUND(F32/$C32,2)</f>
        <v>19.78</v>
      </c>
      <c r="I32" s="113">
        <f>ROUND(G32/$C32,2)</f>
        <v>12.89</v>
      </c>
      <c r="J32" s="112">
        <f>ROUND(0.5*(H32*$C32*$C32)/(1-H32/70),2)</f>
        <v>257.27</v>
      </c>
      <c r="K32" s="149">
        <f>ROUND(0.5*(I32*$C32*$C32)/(1-I32/70),2)</f>
        <v>147.43</v>
      </c>
      <c r="L32" s="139">
        <f t="shared" si="2"/>
        <v>6.7450000000000001</v>
      </c>
      <c r="M32" s="4"/>
      <c r="O32" s="174">
        <f t="shared" si="3"/>
        <v>3.01</v>
      </c>
      <c r="P32" s="174">
        <f t="shared" si="4"/>
        <v>2.65</v>
      </c>
      <c r="R32" s="114"/>
      <c r="S32" s="122"/>
      <c r="T32" s="183" t="s">
        <v>156</v>
      </c>
      <c r="U32" s="183"/>
      <c r="V32" s="122"/>
      <c r="W32" s="115"/>
    </row>
    <row r="33" spans="1:23" x14ac:dyDescent="0.25">
      <c r="A33" s="73"/>
      <c r="B33" s="145">
        <v>5.9027777777777776E-3</v>
      </c>
      <c r="C33" s="211">
        <v>8.5</v>
      </c>
      <c r="D33" s="112">
        <v>1436</v>
      </c>
      <c r="E33" s="73">
        <v>1573</v>
      </c>
      <c r="F33" s="148">
        <f t="shared" si="1"/>
        <v>114.88</v>
      </c>
      <c r="G33" s="149">
        <f t="shared" si="0"/>
        <v>125.84</v>
      </c>
      <c r="H33" s="112">
        <f>ROUND(F33/$C33,2)</f>
        <v>13.52</v>
      </c>
      <c r="I33" s="113">
        <f>ROUND(G33/$C33,2)</f>
        <v>14.8</v>
      </c>
      <c r="J33" s="112">
        <f>ROUND(0.5*(H33*$C33*$C33)/(1-H33/70),2)</f>
        <v>605.32000000000005</v>
      </c>
      <c r="K33" s="149">
        <f>ROUND(0.5*(I33*$C33*$C33)/(1-I33/70),2)</f>
        <v>678</v>
      </c>
      <c r="L33" s="139">
        <f t="shared" si="2"/>
        <v>21.3887</v>
      </c>
      <c r="M33" s="4"/>
      <c r="O33" s="174">
        <f t="shared" si="3"/>
        <v>5.27</v>
      </c>
      <c r="P33" s="174">
        <f t="shared" si="4"/>
        <v>5.39</v>
      </c>
      <c r="R33" s="114"/>
      <c r="S33" s="107" t="s">
        <v>150</v>
      </c>
      <c r="T33" s="107" t="s">
        <v>157</v>
      </c>
      <c r="U33" s="107" t="s">
        <v>158</v>
      </c>
      <c r="V33" s="122"/>
      <c r="W33" s="115"/>
    </row>
    <row r="34" spans="1:23" x14ac:dyDescent="0.25">
      <c r="A34" s="73"/>
      <c r="B34" s="145">
        <v>6.053240740740741E-3</v>
      </c>
      <c r="C34" s="211">
        <v>8.7200000000000006</v>
      </c>
      <c r="D34" s="112">
        <v>3171</v>
      </c>
      <c r="E34" s="73">
        <v>1613</v>
      </c>
      <c r="F34" s="148">
        <f t="shared" si="1"/>
        <v>253.68</v>
      </c>
      <c r="G34" s="149">
        <f t="shared" si="0"/>
        <v>129.04</v>
      </c>
      <c r="H34" s="112">
        <f>ROUND(F34/$C34,2)</f>
        <v>29.09</v>
      </c>
      <c r="I34" s="113">
        <f>ROUND(G34/$C34,2)</f>
        <v>14.8</v>
      </c>
      <c r="J34" s="112">
        <f>ROUND(0.5*(H34*$C34*$C34)/(1-H34/70),2)</f>
        <v>1892.41</v>
      </c>
      <c r="K34" s="149">
        <f>ROUND(0.5*(I34*$C34*$C34)/(1-I34/70),2)</f>
        <v>713.55</v>
      </c>
      <c r="L34" s="139">
        <f t="shared" si="2"/>
        <v>43.432699999999997</v>
      </c>
      <c r="M34" s="4"/>
      <c r="O34" s="174">
        <f t="shared" si="3"/>
        <v>7.46</v>
      </c>
      <c r="P34" s="174">
        <f t="shared" si="4"/>
        <v>5.53</v>
      </c>
      <c r="R34" s="112" t="s">
        <v>153</v>
      </c>
      <c r="S34" s="109">
        <f>AVERAGE(B24:B36)</f>
        <v>4.679487179487179E-3</v>
      </c>
      <c r="T34" s="73">
        <f>AVERAGE(D24:D36)</f>
        <v>1053.2</v>
      </c>
      <c r="U34" s="73">
        <f>AVERAGE(E24:E36)</f>
        <v>898.8</v>
      </c>
      <c r="V34" s="122"/>
      <c r="W34" s="115"/>
    </row>
    <row r="35" spans="1:23" x14ac:dyDescent="0.25">
      <c r="A35" s="73"/>
      <c r="B35" s="145">
        <v>1.6319444444444445E-3</v>
      </c>
      <c r="C35" s="211">
        <v>2.35</v>
      </c>
      <c r="D35" s="112">
        <v>290</v>
      </c>
      <c r="E35" s="73">
        <v>321</v>
      </c>
      <c r="F35" s="148">
        <f t="shared" si="1"/>
        <v>23.2</v>
      </c>
      <c r="G35" s="149">
        <f t="shared" si="0"/>
        <v>25.68</v>
      </c>
      <c r="H35" s="112">
        <f>ROUND(F35/$C35,2)</f>
        <v>9.8699999999999992</v>
      </c>
      <c r="I35" s="113">
        <f>ROUND(G35/$C35,2)</f>
        <v>10.93</v>
      </c>
      <c r="J35" s="112">
        <f>ROUND(0.5*(H35*$C35*$C35)/(1-H35/70),2)</f>
        <v>31.73</v>
      </c>
      <c r="K35" s="149">
        <f>ROUND(0.5*(I35*$C35*$C35)/(1-I35/70),2)</f>
        <v>35.76</v>
      </c>
      <c r="L35" s="139">
        <f t="shared" si="2"/>
        <v>1.1248</v>
      </c>
      <c r="M35" s="230" t="s">
        <v>159</v>
      </c>
      <c r="O35" s="174">
        <f t="shared" si="3"/>
        <v>1.37</v>
      </c>
      <c r="P35" s="174">
        <f t="shared" si="4"/>
        <v>1.39</v>
      </c>
      <c r="R35" s="112" t="s">
        <v>154</v>
      </c>
      <c r="S35" s="109">
        <f>MAX(B24:B36)</f>
        <v>1.1724537037037035E-2</v>
      </c>
      <c r="T35" s="73">
        <f>MAX(D24:D36)</f>
        <v>3171</v>
      </c>
      <c r="U35" s="160">
        <f>MAX(E24:E36)</f>
        <v>3000</v>
      </c>
      <c r="V35" s="161" t="s">
        <v>160</v>
      </c>
      <c r="W35" s="115"/>
    </row>
    <row r="36" spans="1:23" ht="15.75" customHeight="1" thickBot="1" x14ac:dyDescent="0.3">
      <c r="A36" s="73"/>
      <c r="B36" s="145">
        <v>7.6851851851851847E-3</v>
      </c>
      <c r="C36" s="211">
        <v>11.07</v>
      </c>
      <c r="D36" s="112">
        <v>734</v>
      </c>
      <c r="E36" s="73">
        <v>541</v>
      </c>
      <c r="F36" s="148">
        <f t="shared" si="1"/>
        <v>58.72</v>
      </c>
      <c r="G36" s="149">
        <f t="shared" si="0"/>
        <v>43.28</v>
      </c>
      <c r="H36" s="112">
        <f>ROUND(F36/$C36,2)</f>
        <v>5.3</v>
      </c>
      <c r="I36" s="113">
        <f>ROUND(G36/$C36,2)</f>
        <v>3.91</v>
      </c>
      <c r="J36" s="112">
        <f>ROUND(0.5*(H36*$C36*$C36)/(1-H36/70),2)</f>
        <v>351.35</v>
      </c>
      <c r="K36" s="149">
        <f>ROUND(0.5*(I36*$C36*$C36)/(1-I36/70),2)</f>
        <v>253.75</v>
      </c>
      <c r="L36" s="139">
        <f t="shared" si="2"/>
        <v>10.085000000000001</v>
      </c>
      <c r="M36" s="231">
        <f>SUM(L24:L36)</f>
        <v>162.1711</v>
      </c>
      <c r="O36" s="174">
        <f t="shared" si="3"/>
        <v>5.98</v>
      </c>
      <c r="P36" s="174">
        <f t="shared" si="4"/>
        <v>5.86</v>
      </c>
      <c r="R36" s="118" t="s">
        <v>155</v>
      </c>
      <c r="S36" s="123">
        <f>MIN(B24:B36)</f>
        <v>6.8287037037037025E-4</v>
      </c>
      <c r="T36" s="124">
        <f>MIN(D24:D36)</f>
        <v>107</v>
      </c>
      <c r="U36" s="124">
        <f>MIN(E24:E36)</f>
        <v>42</v>
      </c>
      <c r="V36" s="125"/>
      <c r="W36" s="126"/>
    </row>
    <row r="37" spans="1:23" x14ac:dyDescent="0.25">
      <c r="C37" s="212"/>
      <c r="D37" s="114"/>
      <c r="E37" s="239"/>
      <c r="F37" t="s">
        <v>139</v>
      </c>
      <c r="G37" t="s">
        <v>139</v>
      </c>
      <c r="H37" s="114"/>
      <c r="I37" s="115"/>
      <c r="J37" s="114"/>
      <c r="K37" s="122"/>
      <c r="L37" s="232"/>
      <c r="M37" s="4"/>
    </row>
    <row r="38" spans="1:23" x14ac:dyDescent="0.25">
      <c r="A38" s="108">
        <v>41772</v>
      </c>
      <c r="B38" s="145">
        <v>2.0601851851851853E-3</v>
      </c>
      <c r="C38" s="211">
        <v>2.97</v>
      </c>
      <c r="D38" s="112"/>
      <c r="E38" s="73">
        <v>48</v>
      </c>
      <c r="F38" s="148">
        <f t="shared" si="1"/>
        <v>0</v>
      </c>
      <c r="G38" s="149">
        <f t="shared" si="0"/>
        <v>3.84</v>
      </c>
      <c r="H38" s="112">
        <f>ROUND(F38/$C38,2)</f>
        <v>0</v>
      </c>
      <c r="I38" s="113">
        <f>ROUND(G38/$C38,2)</f>
        <v>1.29</v>
      </c>
      <c r="J38" s="112">
        <f>ROUND(0.5*(H38*$C38*$C38)/(1-H38/70),2)</f>
        <v>0</v>
      </c>
      <c r="K38" s="149">
        <f>ROUND(0.5*(I38*$C38*$C38)/(1-I38/70),2)</f>
        <v>5.8</v>
      </c>
      <c r="L38" s="139">
        <f>ROUND((J38+K38)/60,4)</f>
        <v>9.6699999999999994E-2</v>
      </c>
      <c r="M38" s="229"/>
      <c r="O38" s="174" t="s">
        <v>139</v>
      </c>
      <c r="P38" s="174">
        <f t="shared" ref="P38:P50" si="5">ROUND((K38/G38),2)</f>
        <v>1.51</v>
      </c>
    </row>
    <row r="39" spans="1:23" x14ac:dyDescent="0.25">
      <c r="A39" s="73" t="s">
        <v>161</v>
      </c>
      <c r="B39" s="145">
        <v>1.1273148148148148E-2</v>
      </c>
      <c r="C39" s="211">
        <v>16.23</v>
      </c>
      <c r="D39" s="112">
        <v>339</v>
      </c>
      <c r="E39" s="73"/>
      <c r="F39" s="148">
        <f t="shared" si="1"/>
        <v>27.12</v>
      </c>
      <c r="G39" s="149">
        <f t="shared" si="0"/>
        <v>0</v>
      </c>
      <c r="H39" s="112">
        <f>ROUND(F39/$C39,2)</f>
        <v>1.67</v>
      </c>
      <c r="I39" s="113">
        <f>ROUND(G39/$C39,2)</f>
        <v>0</v>
      </c>
      <c r="J39" s="112">
        <f>ROUND(0.5*(H39*$C39*$C39)/(1-H39/70),2)</f>
        <v>225.33</v>
      </c>
      <c r="K39" s="149">
        <f>ROUND(0.5*(I39*$C39*$C39)/(1-I39/70),2)</f>
        <v>0</v>
      </c>
      <c r="L39" s="139">
        <f t="shared" ref="L39:L50" si="6">ROUND((J39+K39)/60,4)</f>
        <v>3.7555000000000001</v>
      </c>
      <c r="M39" s="229"/>
      <c r="O39" s="174">
        <f t="shared" ref="O39:O50" si="7">ROUND((J39/F39),2)</f>
        <v>8.31</v>
      </c>
      <c r="P39" s="174" t="s">
        <v>139</v>
      </c>
    </row>
    <row r="40" spans="1:23" x14ac:dyDescent="0.25">
      <c r="A40" s="73"/>
      <c r="B40" s="145">
        <v>4.7569444444444447E-3</v>
      </c>
      <c r="C40" s="211">
        <v>6.85</v>
      </c>
      <c r="D40" s="112"/>
      <c r="E40" s="73">
        <v>228</v>
      </c>
      <c r="F40" s="148">
        <f t="shared" si="1"/>
        <v>0</v>
      </c>
      <c r="G40" s="149">
        <f t="shared" si="0"/>
        <v>18.240000000000002</v>
      </c>
      <c r="H40" s="112">
        <f>ROUND(F40/$C40,2)</f>
        <v>0</v>
      </c>
      <c r="I40" s="113">
        <f>ROUND(G40/$C40,2)</f>
        <v>2.66</v>
      </c>
      <c r="J40" s="112">
        <f>ROUND(0.5*(H40*$C40*$C40)/(1-H40/70),2)</f>
        <v>0</v>
      </c>
      <c r="K40" s="149">
        <f>ROUND(0.5*(I40*$C40*$C40)/(1-I40/70),2)</f>
        <v>64.87</v>
      </c>
      <c r="L40" s="139">
        <f t="shared" si="6"/>
        <v>1.0811999999999999</v>
      </c>
      <c r="M40" s="229"/>
      <c r="O40" s="174" t="s">
        <v>139</v>
      </c>
      <c r="P40" s="174">
        <f t="shared" si="5"/>
        <v>3.56</v>
      </c>
    </row>
    <row r="41" spans="1:23" x14ac:dyDescent="0.25">
      <c r="A41" s="73"/>
      <c r="B41" s="145">
        <v>9.4907407407407408E-4</v>
      </c>
      <c r="C41" s="211">
        <v>1.37</v>
      </c>
      <c r="D41" s="112"/>
      <c r="E41" s="73"/>
      <c r="F41" s="148">
        <f t="shared" si="1"/>
        <v>0</v>
      </c>
      <c r="G41" s="149">
        <f t="shared" si="0"/>
        <v>0</v>
      </c>
      <c r="H41" s="112">
        <f>ROUND(F41/$C41,2)</f>
        <v>0</v>
      </c>
      <c r="I41" s="113">
        <f>ROUND(G41/$C41,2)</f>
        <v>0</v>
      </c>
      <c r="J41" s="112">
        <f>ROUND(0.5*(H41*$C41*$C41)/(1-H41/70),2)</f>
        <v>0</v>
      </c>
      <c r="K41" s="149">
        <f>ROUND(0.5*(I41*$C41*$C41)/(1-I41/70),2)</f>
        <v>0</v>
      </c>
      <c r="L41" s="139">
        <f t="shared" si="6"/>
        <v>0</v>
      </c>
      <c r="M41" s="229"/>
      <c r="O41" s="174" t="s">
        <v>139</v>
      </c>
      <c r="P41" s="174" t="s">
        <v>139</v>
      </c>
    </row>
    <row r="42" spans="1:23" x14ac:dyDescent="0.25">
      <c r="A42" s="73"/>
      <c r="B42" s="145">
        <v>9.1319444444444443E-3</v>
      </c>
      <c r="C42" s="211">
        <v>13.15</v>
      </c>
      <c r="D42" s="112">
        <v>381</v>
      </c>
      <c r="E42" s="73">
        <v>306</v>
      </c>
      <c r="F42" s="148">
        <f t="shared" si="1"/>
        <v>30.48</v>
      </c>
      <c r="G42" s="149">
        <f t="shared" si="0"/>
        <v>24.48</v>
      </c>
      <c r="H42" s="112">
        <f>ROUND(F42/$C42,2)</f>
        <v>2.3199999999999998</v>
      </c>
      <c r="I42" s="113">
        <f>ROUND(G42/$C42,2)</f>
        <v>1.86</v>
      </c>
      <c r="J42" s="112">
        <f>ROUND(0.5*(H42*$C42*$C42)/(1-H42/70),2)</f>
        <v>207.47</v>
      </c>
      <c r="K42" s="149">
        <f>ROUND(0.5*(I42*$C42*$C42)/(1-I42/70),2)</f>
        <v>165.21</v>
      </c>
      <c r="L42" s="139">
        <f t="shared" si="6"/>
        <v>6.2112999999999996</v>
      </c>
      <c r="M42" s="229"/>
      <c r="O42" s="174">
        <f t="shared" si="7"/>
        <v>6.81</v>
      </c>
      <c r="P42" s="174">
        <f t="shared" si="5"/>
        <v>6.75</v>
      </c>
    </row>
    <row r="43" spans="1:23" ht="15.75" thickBot="1" x14ac:dyDescent="0.3">
      <c r="A43" s="73"/>
      <c r="B43" s="145">
        <v>7.8125E-3</v>
      </c>
      <c r="C43" s="211">
        <v>11.25</v>
      </c>
      <c r="D43" s="112">
        <v>448</v>
      </c>
      <c r="E43" s="73">
        <v>647</v>
      </c>
      <c r="F43" s="148">
        <f t="shared" si="1"/>
        <v>35.840000000000003</v>
      </c>
      <c r="G43" s="149">
        <f t="shared" si="0"/>
        <v>51.76</v>
      </c>
      <c r="H43" s="112">
        <f>ROUND(F43/$C43,2)</f>
        <v>3.19</v>
      </c>
      <c r="I43" s="113">
        <f>ROUND(G43/$C43,2)</f>
        <v>4.5999999999999996</v>
      </c>
      <c r="J43" s="112">
        <f>ROUND(0.5*(H43*$C43*$C43)/(1-H43/70),2)</f>
        <v>211.51</v>
      </c>
      <c r="K43" s="149">
        <f>ROUND(0.5*(I43*$C43*$C43)/(1-I43/70),2)</f>
        <v>311.57</v>
      </c>
      <c r="L43" s="139">
        <f t="shared" si="6"/>
        <v>8.718</v>
      </c>
      <c r="M43" s="229"/>
      <c r="O43" s="174">
        <f t="shared" si="7"/>
        <v>5.9</v>
      </c>
      <c r="P43" s="174">
        <f t="shared" si="5"/>
        <v>6.02</v>
      </c>
    </row>
    <row r="44" spans="1:23" x14ac:dyDescent="0.25">
      <c r="A44" s="73"/>
      <c r="B44" s="145">
        <v>6.1111111111111114E-3</v>
      </c>
      <c r="C44" s="211">
        <v>8.8000000000000007</v>
      </c>
      <c r="D44" s="112">
        <v>796</v>
      </c>
      <c r="E44" s="73">
        <v>498</v>
      </c>
      <c r="F44" s="148">
        <f t="shared" si="1"/>
        <v>63.68</v>
      </c>
      <c r="G44" s="149">
        <f t="shared" si="0"/>
        <v>39.840000000000003</v>
      </c>
      <c r="H44" s="112">
        <f>ROUND(F44/$C44,2)</f>
        <v>7.24</v>
      </c>
      <c r="I44" s="113">
        <f>ROUND(G44/$C44,2)</f>
        <v>4.53</v>
      </c>
      <c r="J44" s="112">
        <f>ROUND(0.5*(H44*$C44*$C44)/(1-H44/70),2)</f>
        <v>312.67</v>
      </c>
      <c r="K44" s="149">
        <f>ROUND(0.5*(I44*$C44*$C44)/(1-I44/70),2)</f>
        <v>187.54</v>
      </c>
      <c r="L44" s="139">
        <f t="shared" si="6"/>
        <v>8.3368000000000002</v>
      </c>
      <c r="M44" s="229"/>
      <c r="O44" s="174">
        <f t="shared" si="7"/>
        <v>4.91</v>
      </c>
      <c r="P44" s="174">
        <f t="shared" si="5"/>
        <v>4.71</v>
      </c>
      <c r="R44" s="110" t="s">
        <v>161</v>
      </c>
      <c r="S44" s="121"/>
      <c r="T44" s="121"/>
      <c r="U44" s="121"/>
      <c r="V44" s="121"/>
      <c r="W44" s="111"/>
    </row>
    <row r="45" spans="1:23" x14ac:dyDescent="0.25">
      <c r="A45" s="73"/>
      <c r="B45" s="145">
        <v>7.3032407407407412E-3</v>
      </c>
      <c r="C45" s="211">
        <v>10.52</v>
      </c>
      <c r="D45" s="112">
        <v>3079</v>
      </c>
      <c r="E45" s="160">
        <v>3000</v>
      </c>
      <c r="F45" s="148">
        <f t="shared" si="1"/>
        <v>246.32</v>
      </c>
      <c r="G45" s="163">
        <f t="shared" si="0"/>
        <v>240</v>
      </c>
      <c r="H45" s="112">
        <f>ROUND(F45/$C45,2)</f>
        <v>23.41</v>
      </c>
      <c r="I45" s="221">
        <f>ROUND(G45/$C45,2)</f>
        <v>22.81</v>
      </c>
      <c r="J45" s="112">
        <f>ROUND(0.5*(H45*$C45*$C45)/(1-H45/70),2)</f>
        <v>1946.29</v>
      </c>
      <c r="K45" s="226">
        <f>ROUND(0.5*(I45*$C45*$C45)/(1-I45/70),2)</f>
        <v>1872.3</v>
      </c>
      <c r="L45" s="168">
        <f t="shared" si="6"/>
        <v>63.6432</v>
      </c>
      <c r="M45" s="229"/>
      <c r="O45" s="174">
        <f t="shared" si="7"/>
        <v>7.9</v>
      </c>
      <c r="P45" s="174">
        <f t="shared" si="5"/>
        <v>7.8</v>
      </c>
      <c r="R45" s="112" t="s">
        <v>152</v>
      </c>
      <c r="S45" s="73">
        <f>COUNT(B38:B50)</f>
        <v>13</v>
      </c>
      <c r="T45" s="122"/>
      <c r="U45" s="122"/>
      <c r="V45" s="122"/>
      <c r="W45" s="115"/>
    </row>
    <row r="46" spans="1:23" x14ac:dyDescent="0.25">
      <c r="A46" s="73"/>
      <c r="B46" s="145">
        <v>8.3333333333333339E-4</v>
      </c>
      <c r="C46" s="211">
        <v>1.2</v>
      </c>
      <c r="D46" s="112">
        <v>188</v>
      </c>
      <c r="E46" s="73">
        <v>145</v>
      </c>
      <c r="F46" s="148">
        <f t="shared" si="1"/>
        <v>15.040000000000001</v>
      </c>
      <c r="G46" s="149">
        <f t="shared" si="0"/>
        <v>11.6</v>
      </c>
      <c r="H46" s="112">
        <f>ROUND(F46/$C46,2)</f>
        <v>12.53</v>
      </c>
      <c r="I46" s="113">
        <f>ROUND(G46/$C46,2)</f>
        <v>9.67</v>
      </c>
      <c r="J46" s="112">
        <f>ROUND(0.5*(H46*$C46*$C46)/(1-H46/70),2)</f>
        <v>10.99</v>
      </c>
      <c r="K46" s="149">
        <f>ROUND(0.5*(I46*$C46*$C46)/(1-I46/70),2)</f>
        <v>8.08</v>
      </c>
      <c r="L46" s="139">
        <f t="shared" si="6"/>
        <v>0.31780000000000003</v>
      </c>
      <c r="M46" s="229"/>
      <c r="O46" s="174">
        <f t="shared" si="7"/>
        <v>0.73</v>
      </c>
      <c r="P46" s="174">
        <f t="shared" si="5"/>
        <v>0.7</v>
      </c>
      <c r="R46" s="114"/>
      <c r="S46" s="122"/>
      <c r="T46" s="183" t="s">
        <v>156</v>
      </c>
      <c r="U46" s="183"/>
      <c r="V46" s="122"/>
      <c r="W46" s="115"/>
    </row>
    <row r="47" spans="1:23" x14ac:dyDescent="0.25">
      <c r="A47" s="73"/>
      <c r="B47" s="145">
        <v>4.0509259259259257E-3</v>
      </c>
      <c r="C47" s="211">
        <v>5.83</v>
      </c>
      <c r="D47" s="112">
        <v>1047</v>
      </c>
      <c r="E47" s="73">
        <v>624</v>
      </c>
      <c r="F47" s="148">
        <f t="shared" si="1"/>
        <v>83.76</v>
      </c>
      <c r="G47" s="149">
        <f t="shared" si="0"/>
        <v>49.92</v>
      </c>
      <c r="H47" s="112">
        <f>ROUND(F47/$C47,2)</f>
        <v>14.37</v>
      </c>
      <c r="I47" s="113">
        <f>ROUND(G47/$C47,2)</f>
        <v>8.56</v>
      </c>
      <c r="J47" s="112">
        <f>ROUND(0.5*(H47*$C47*$C47)/(1-H47/70),2)</f>
        <v>307.29000000000002</v>
      </c>
      <c r="K47" s="149">
        <f>ROUND(0.5*(I47*$C47*$C47)/(1-I47/70),2)</f>
        <v>165.74</v>
      </c>
      <c r="L47" s="139">
        <f t="shared" si="6"/>
        <v>7.8837999999999999</v>
      </c>
      <c r="M47" s="229"/>
      <c r="O47" s="174">
        <f t="shared" si="7"/>
        <v>3.67</v>
      </c>
      <c r="P47" s="174">
        <f t="shared" si="5"/>
        <v>3.32</v>
      </c>
      <c r="R47" s="114"/>
      <c r="S47" s="107" t="s">
        <v>150</v>
      </c>
      <c r="T47" s="107" t="s">
        <v>157</v>
      </c>
      <c r="U47" s="107" t="s">
        <v>158</v>
      </c>
      <c r="V47" s="122"/>
      <c r="W47" s="115"/>
    </row>
    <row r="48" spans="1:23" x14ac:dyDescent="0.25">
      <c r="A48" s="73"/>
      <c r="B48" s="145">
        <v>6.9212962962962969E-3</v>
      </c>
      <c r="C48" s="211">
        <v>9.9700000000000006</v>
      </c>
      <c r="D48" s="112">
        <v>2039</v>
      </c>
      <c r="E48" s="73">
        <v>1573</v>
      </c>
      <c r="F48" s="148">
        <f t="shared" si="1"/>
        <v>163.12</v>
      </c>
      <c r="G48" s="149">
        <f t="shared" si="0"/>
        <v>125.84</v>
      </c>
      <c r="H48" s="112">
        <f>ROUND(F48/$C48,2)</f>
        <v>16.36</v>
      </c>
      <c r="I48" s="113">
        <f>ROUND(G48/$C48,2)</f>
        <v>12.62</v>
      </c>
      <c r="J48" s="112">
        <f>ROUND(0.5*(H48*$C48*$C48)/(1-H48/70),2)</f>
        <v>1061.0899999999999</v>
      </c>
      <c r="K48" s="149">
        <f>ROUND(0.5*(I48*$C48*$C48)/(1-I48/70),2)</f>
        <v>765.17</v>
      </c>
      <c r="L48" s="139">
        <f t="shared" si="6"/>
        <v>30.4377</v>
      </c>
      <c r="M48" s="229"/>
      <c r="O48" s="174">
        <f t="shared" si="7"/>
        <v>6.5</v>
      </c>
      <c r="P48" s="174">
        <f t="shared" si="5"/>
        <v>6.08</v>
      </c>
      <c r="R48" s="112" t="s">
        <v>153</v>
      </c>
      <c r="S48" s="109">
        <f>AVERAGE(B38:B50)</f>
        <v>5.0409544159544161E-3</v>
      </c>
      <c r="T48" s="73">
        <f>AVERAGE(D38:D50)</f>
        <v>962.9</v>
      </c>
      <c r="U48" s="73">
        <f>AVERAGE(E38:E50)</f>
        <v>774.09090909090912</v>
      </c>
      <c r="V48" s="122"/>
      <c r="W48" s="115"/>
    </row>
    <row r="49" spans="1:23" x14ac:dyDescent="0.25">
      <c r="A49" s="73"/>
      <c r="B49" s="145">
        <v>1.4583333333333334E-3</v>
      </c>
      <c r="C49" s="211">
        <v>2.1</v>
      </c>
      <c r="D49" s="112">
        <v>497</v>
      </c>
      <c r="E49" s="73">
        <v>375</v>
      </c>
      <c r="F49" s="148">
        <f t="shared" si="1"/>
        <v>39.76</v>
      </c>
      <c r="G49" s="149">
        <f t="shared" si="0"/>
        <v>30</v>
      </c>
      <c r="H49" s="112">
        <f>ROUND(F49/$C49,2)</f>
        <v>18.93</v>
      </c>
      <c r="I49" s="113">
        <f>ROUND(G49/$C49,2)</f>
        <v>14.29</v>
      </c>
      <c r="J49" s="112">
        <f>ROUND(0.5*(H49*$C49*$C49)/(1-H49/70),2)</f>
        <v>57.21</v>
      </c>
      <c r="K49" s="149">
        <f>ROUND(0.5*(I49*$C49*$C49)/(1-I49/70),2)</f>
        <v>39.590000000000003</v>
      </c>
      <c r="L49" s="139">
        <f t="shared" si="6"/>
        <v>1.6133</v>
      </c>
      <c r="M49" s="230" t="s">
        <v>161</v>
      </c>
      <c r="O49" s="174">
        <f t="shared" si="7"/>
        <v>1.44</v>
      </c>
      <c r="P49" s="174">
        <f t="shared" si="5"/>
        <v>1.32</v>
      </c>
      <c r="R49" s="112" t="s">
        <v>154</v>
      </c>
      <c r="S49" s="109">
        <f>MAX(B38:B50)</f>
        <v>1.1273148148148148E-2</v>
      </c>
      <c r="T49" s="73">
        <f>MAX(D38:D50)</f>
        <v>3079</v>
      </c>
      <c r="U49" s="160">
        <f>MAX(E38:E50)</f>
        <v>3000</v>
      </c>
      <c r="V49" s="161" t="s">
        <v>160</v>
      </c>
      <c r="W49" s="115"/>
    </row>
    <row r="50" spans="1:23" ht="15.75" thickBot="1" x14ac:dyDescent="0.3">
      <c r="A50" s="73"/>
      <c r="B50" s="145">
        <v>2.8703703703703708E-3</v>
      </c>
      <c r="C50" s="211">
        <v>4.13</v>
      </c>
      <c r="D50" s="112">
        <v>815</v>
      </c>
      <c r="E50" s="73">
        <v>1071</v>
      </c>
      <c r="F50" s="148">
        <f t="shared" si="1"/>
        <v>65.2</v>
      </c>
      <c r="G50" s="149">
        <f t="shared" si="0"/>
        <v>85.68</v>
      </c>
      <c r="H50" s="112">
        <f>ROUND(F50/$C50,2)</f>
        <v>15.79</v>
      </c>
      <c r="I50" s="113">
        <f>ROUND(G50/$C50,2)</f>
        <v>20.75</v>
      </c>
      <c r="J50" s="112">
        <f>ROUND(0.5*(H50*$C50*$C50)/(1-H50/70),2)</f>
        <v>173.89</v>
      </c>
      <c r="K50" s="149">
        <f>ROUND(0.5*(I50*$C50*$C50)/(1-I50/70),2)</f>
        <v>251.52</v>
      </c>
      <c r="L50" s="139">
        <f t="shared" si="6"/>
        <v>7.0902000000000003</v>
      </c>
      <c r="M50" s="231">
        <f>SUM(L38:L50)</f>
        <v>139.18550000000002</v>
      </c>
      <c r="O50" s="174">
        <f t="shared" si="7"/>
        <v>2.67</v>
      </c>
      <c r="P50" s="174">
        <f t="shared" si="5"/>
        <v>2.94</v>
      </c>
      <c r="R50" s="118" t="s">
        <v>155</v>
      </c>
      <c r="S50" s="123">
        <f>MIN(B38:B50)</f>
        <v>8.3333333333333339E-4</v>
      </c>
      <c r="T50" s="124">
        <f>MIN(D38:D50)</f>
        <v>188</v>
      </c>
      <c r="U50" s="124">
        <f>MIN(E38:E50)</f>
        <v>48</v>
      </c>
      <c r="V50" s="125"/>
      <c r="W50" s="126"/>
    </row>
    <row r="51" spans="1:23" x14ac:dyDescent="0.25">
      <c r="C51" s="212"/>
      <c r="D51" s="114"/>
      <c r="E51" s="239"/>
      <c r="F51" t="s">
        <v>139</v>
      </c>
      <c r="G51" t="s">
        <v>139</v>
      </c>
      <c r="H51" s="114"/>
      <c r="I51" s="115"/>
      <c r="J51" s="114"/>
      <c r="K51" s="122"/>
      <c r="L51" s="232"/>
      <c r="M51" s="4"/>
    </row>
    <row r="52" spans="1:23" x14ac:dyDescent="0.25">
      <c r="A52" s="108">
        <v>41773</v>
      </c>
      <c r="B52" s="145">
        <v>1.3773148148148147E-3</v>
      </c>
      <c r="C52" s="211">
        <v>1.98</v>
      </c>
      <c r="D52" s="112">
        <v>44</v>
      </c>
      <c r="E52" s="73"/>
      <c r="F52" s="148">
        <f t="shared" si="1"/>
        <v>3.52</v>
      </c>
      <c r="G52" s="149">
        <f t="shared" si="0"/>
        <v>0</v>
      </c>
      <c r="H52" s="112">
        <f>ROUND(F52/$C52,2)</f>
        <v>1.78</v>
      </c>
      <c r="I52" s="113">
        <f>ROUND(G52/$C52,2)</f>
        <v>0</v>
      </c>
      <c r="J52" s="112">
        <f>ROUND(0.5*(H52*$C52*$C52)/(1-H52/70),2)</f>
        <v>3.58</v>
      </c>
      <c r="K52" s="149">
        <f>ROUND(0.5*(I52*$C52*$C52)/(1-I52/70),2)</f>
        <v>0</v>
      </c>
      <c r="L52" s="139">
        <f>ROUND((J52+K52)/60,4)</f>
        <v>5.9700000000000003E-2</v>
      </c>
      <c r="M52" s="229"/>
      <c r="O52" s="174">
        <f t="shared" ref="O52:O72" si="8">ROUND((J52/F52),2)</f>
        <v>1.02</v>
      </c>
      <c r="P52" s="174" t="s">
        <v>139</v>
      </c>
    </row>
    <row r="53" spans="1:23" x14ac:dyDescent="0.25">
      <c r="A53" s="73" t="s">
        <v>162</v>
      </c>
      <c r="B53" s="145">
        <v>5.6712962962962956E-4</v>
      </c>
      <c r="C53" s="211">
        <v>0.82</v>
      </c>
      <c r="D53" s="112"/>
      <c r="E53" s="73"/>
      <c r="F53" s="148">
        <f t="shared" si="1"/>
        <v>0</v>
      </c>
      <c r="G53" s="149">
        <f t="shared" si="0"/>
        <v>0</v>
      </c>
      <c r="H53" s="112">
        <f>ROUND(F53/$C53,2)</f>
        <v>0</v>
      </c>
      <c r="I53" s="113">
        <f>ROUND(G53/$C53,2)</f>
        <v>0</v>
      </c>
      <c r="J53" s="112">
        <f>ROUND(0.5*(H53*$C53*$C53)/(1-H53/70),2)</f>
        <v>0</v>
      </c>
      <c r="K53" s="149">
        <f>ROUND(0.5*(I53*$C53*$C53)/(1-I53/70),2)</f>
        <v>0</v>
      </c>
      <c r="L53" s="139">
        <f t="shared" ref="L53:L64" si="9">ROUND((J53+K53)/60,4)</f>
        <v>0</v>
      </c>
      <c r="M53" s="229"/>
      <c r="O53" s="174" t="s">
        <v>139</v>
      </c>
      <c r="P53" s="174" t="s">
        <v>139</v>
      </c>
    </row>
    <row r="54" spans="1:23" x14ac:dyDescent="0.25">
      <c r="A54" s="73"/>
      <c r="B54" s="145">
        <v>9.0277777777777784E-4</v>
      </c>
      <c r="C54" s="211">
        <v>1.3</v>
      </c>
      <c r="D54" s="112"/>
      <c r="E54" s="73"/>
      <c r="F54" s="148">
        <f t="shared" si="1"/>
        <v>0</v>
      </c>
      <c r="G54" s="149">
        <f t="shared" si="0"/>
        <v>0</v>
      </c>
      <c r="H54" s="112">
        <f>ROUND(F54/$C54,2)</f>
        <v>0</v>
      </c>
      <c r="I54" s="113">
        <f>ROUND(G54/$C54,2)</f>
        <v>0</v>
      </c>
      <c r="J54" s="112">
        <f>ROUND(0.5*(H54*$C54*$C54)/(1-H54/70),2)</f>
        <v>0</v>
      </c>
      <c r="K54" s="149">
        <f>ROUND(0.5*(I54*$C54*$C54)/(1-I54/70),2)</f>
        <v>0</v>
      </c>
      <c r="L54" s="139">
        <f t="shared" si="9"/>
        <v>0</v>
      </c>
      <c r="M54" s="229"/>
      <c r="O54" s="174" t="s">
        <v>139</v>
      </c>
      <c r="P54" s="174" t="s">
        <v>139</v>
      </c>
    </row>
    <row r="55" spans="1:23" x14ac:dyDescent="0.25">
      <c r="A55" s="73"/>
      <c r="B55" s="145">
        <v>9.3750000000000007E-4</v>
      </c>
      <c r="C55" s="211">
        <v>1.35</v>
      </c>
      <c r="D55" s="112"/>
      <c r="E55" s="73"/>
      <c r="F55" s="148">
        <f t="shared" si="1"/>
        <v>0</v>
      </c>
      <c r="G55" s="149">
        <f t="shared" si="0"/>
        <v>0</v>
      </c>
      <c r="H55" s="112">
        <f>ROUND(F55/$C55,2)</f>
        <v>0</v>
      </c>
      <c r="I55" s="113">
        <f>ROUND(G55/$C55,2)</f>
        <v>0</v>
      </c>
      <c r="J55" s="112">
        <f>ROUND(0.5*(H55*$C55*$C55)/(1-H55/70),2)</f>
        <v>0</v>
      </c>
      <c r="K55" s="149">
        <f>ROUND(0.5*(I55*$C55*$C55)/(1-I55/70),2)</f>
        <v>0</v>
      </c>
      <c r="L55" s="139">
        <f t="shared" si="9"/>
        <v>0</v>
      </c>
      <c r="M55" s="229"/>
      <c r="O55" s="174" t="s">
        <v>139</v>
      </c>
      <c r="P55" s="174" t="s">
        <v>139</v>
      </c>
    </row>
    <row r="56" spans="1:23" x14ac:dyDescent="0.25">
      <c r="A56" s="73"/>
      <c r="B56" s="145">
        <v>2.2222222222222222E-3</v>
      </c>
      <c r="C56" s="211">
        <v>3.2</v>
      </c>
      <c r="D56" s="112">
        <v>32</v>
      </c>
      <c r="E56" s="73"/>
      <c r="F56" s="148">
        <f t="shared" si="1"/>
        <v>2.56</v>
      </c>
      <c r="G56" s="149">
        <f t="shared" si="0"/>
        <v>0</v>
      </c>
      <c r="H56" s="112">
        <f>ROUND(F56/$C56,2)</f>
        <v>0.8</v>
      </c>
      <c r="I56" s="113">
        <f>ROUND(G56/$C56,2)</f>
        <v>0</v>
      </c>
      <c r="J56" s="112">
        <f>ROUND(0.5*(H56*$C56*$C56)/(1-H56/70),2)</f>
        <v>4.1399999999999997</v>
      </c>
      <c r="K56" s="149">
        <f>ROUND(0.5*(I56*$C56*$C56)/(1-I56/70),2)</f>
        <v>0</v>
      </c>
      <c r="L56" s="139">
        <f t="shared" si="9"/>
        <v>6.9000000000000006E-2</v>
      </c>
      <c r="M56" s="229"/>
      <c r="O56" s="174">
        <f t="shared" si="8"/>
        <v>1.62</v>
      </c>
      <c r="P56" s="174" t="s">
        <v>139</v>
      </c>
    </row>
    <row r="57" spans="1:23" x14ac:dyDescent="0.25">
      <c r="A57" s="73"/>
      <c r="B57" s="145">
        <v>8.564814814814815E-4</v>
      </c>
      <c r="C57" s="211">
        <v>1.23</v>
      </c>
      <c r="D57" s="112"/>
      <c r="E57" s="73"/>
      <c r="F57" s="148">
        <f t="shared" si="1"/>
        <v>0</v>
      </c>
      <c r="G57" s="149">
        <f t="shared" si="0"/>
        <v>0</v>
      </c>
      <c r="H57" s="112">
        <f>ROUND(F57/$C57,2)</f>
        <v>0</v>
      </c>
      <c r="I57" s="113">
        <f>ROUND(G57/$C57,2)</f>
        <v>0</v>
      </c>
      <c r="J57" s="112">
        <f>ROUND(0.5*(H57*$C57*$C57)/(1-H57/70),2)</f>
        <v>0</v>
      </c>
      <c r="K57" s="149">
        <f>ROUND(0.5*(I57*$C57*$C57)/(1-I57/70),2)</f>
        <v>0</v>
      </c>
      <c r="L57" s="139">
        <f t="shared" si="9"/>
        <v>0</v>
      </c>
      <c r="M57" s="229"/>
      <c r="O57" s="174" t="s">
        <v>139</v>
      </c>
      <c r="P57" s="174" t="s">
        <v>139</v>
      </c>
    </row>
    <row r="58" spans="1:23" x14ac:dyDescent="0.25">
      <c r="A58" s="73"/>
      <c r="B58" s="145">
        <v>4.7569444444444447E-3</v>
      </c>
      <c r="C58" s="211">
        <v>6.85</v>
      </c>
      <c r="D58" s="112">
        <v>41</v>
      </c>
      <c r="E58" s="73"/>
      <c r="F58" s="148">
        <f t="shared" si="1"/>
        <v>3.2800000000000002</v>
      </c>
      <c r="G58" s="149">
        <f t="shared" si="0"/>
        <v>0</v>
      </c>
      <c r="H58" s="112">
        <f>ROUND(F58/$C58,2)</f>
        <v>0.48</v>
      </c>
      <c r="I58" s="113">
        <f>ROUND(G58/$C58,2)</f>
        <v>0</v>
      </c>
      <c r="J58" s="112">
        <f>ROUND(0.5*(H58*$C58*$C58)/(1-H58/70),2)</f>
        <v>11.34</v>
      </c>
      <c r="K58" s="149">
        <f>ROUND(0.5*(I58*$C58*$C58)/(1-I58/70),2)</f>
        <v>0</v>
      </c>
      <c r="L58" s="139">
        <f t="shared" si="9"/>
        <v>0.189</v>
      </c>
      <c r="M58" s="229"/>
      <c r="O58" s="174">
        <f t="shared" si="8"/>
        <v>3.46</v>
      </c>
      <c r="P58" s="174" t="s">
        <v>139</v>
      </c>
    </row>
    <row r="59" spans="1:23" x14ac:dyDescent="0.25">
      <c r="A59" s="73"/>
      <c r="B59" s="145">
        <v>1.3125E-2</v>
      </c>
      <c r="C59" s="211">
        <v>18.899999999999999</v>
      </c>
      <c r="D59" s="112">
        <v>531</v>
      </c>
      <c r="E59" s="73">
        <v>435</v>
      </c>
      <c r="F59" s="148">
        <f t="shared" si="1"/>
        <v>42.480000000000004</v>
      </c>
      <c r="G59" s="149">
        <f t="shared" si="0"/>
        <v>34.800000000000004</v>
      </c>
      <c r="H59" s="112">
        <f>ROUND(F59/$C59,2)</f>
        <v>2.25</v>
      </c>
      <c r="I59" s="113">
        <f>ROUND(G59/$C59,2)</f>
        <v>1.84</v>
      </c>
      <c r="J59" s="112">
        <f>ROUND(0.5*(H59*$C59*$C59)/(1-H59/70),2)</f>
        <v>415.21</v>
      </c>
      <c r="K59" s="149">
        <f>ROUND(0.5*(I59*$C59*$C59)/(1-I59/70),2)</f>
        <v>337.5</v>
      </c>
      <c r="L59" s="139">
        <f t="shared" si="9"/>
        <v>12.545199999999999</v>
      </c>
      <c r="M59" s="229"/>
      <c r="O59" s="174">
        <f t="shared" si="8"/>
        <v>9.77</v>
      </c>
      <c r="P59" s="174">
        <f t="shared" ref="P59:P72" si="10">ROUND((K59/G59),2)</f>
        <v>9.6999999999999993</v>
      </c>
    </row>
    <row r="60" spans="1:23" x14ac:dyDescent="0.25">
      <c r="A60" s="73"/>
      <c r="B60" s="145">
        <v>2.5000000000000001E-3</v>
      </c>
      <c r="C60" s="211">
        <v>3.6</v>
      </c>
      <c r="D60" s="112">
        <v>764</v>
      </c>
      <c r="E60" s="73">
        <v>1305</v>
      </c>
      <c r="F60" s="148">
        <f t="shared" si="1"/>
        <v>61.120000000000005</v>
      </c>
      <c r="G60" s="149">
        <f t="shared" si="0"/>
        <v>104.4</v>
      </c>
      <c r="H60" s="112">
        <f>ROUND(F60/$C60,2)</f>
        <v>16.98</v>
      </c>
      <c r="I60" s="113">
        <f>ROUND(G60/$C60,2)</f>
        <v>29</v>
      </c>
      <c r="J60" s="112">
        <f>ROUND(0.5*(H60*$C60*$C60)/(1-H60/70),2)</f>
        <v>145.27000000000001</v>
      </c>
      <c r="K60" s="149">
        <f>ROUND(0.5*(I60*$C60*$C60)/(1-I60/70),2)</f>
        <v>320.83999999999997</v>
      </c>
      <c r="L60" s="139">
        <f t="shared" si="9"/>
        <v>7.7685000000000004</v>
      </c>
      <c r="M60" s="229"/>
      <c r="O60" s="174">
        <f t="shared" si="8"/>
        <v>2.38</v>
      </c>
      <c r="P60" s="174">
        <f t="shared" si="10"/>
        <v>3.07</v>
      </c>
    </row>
    <row r="61" spans="1:23" x14ac:dyDescent="0.25">
      <c r="A61" s="73"/>
      <c r="B61" s="145">
        <v>1.3773148148148147E-3</v>
      </c>
      <c r="C61" s="211">
        <v>1.98</v>
      </c>
      <c r="D61" s="112">
        <v>439</v>
      </c>
      <c r="E61" s="73">
        <v>412</v>
      </c>
      <c r="F61" s="148">
        <f t="shared" si="1"/>
        <v>35.119999999999997</v>
      </c>
      <c r="G61" s="149">
        <f t="shared" si="0"/>
        <v>32.96</v>
      </c>
      <c r="H61" s="112">
        <f>ROUND(F61/$C61,2)</f>
        <v>17.739999999999998</v>
      </c>
      <c r="I61" s="113">
        <f>ROUND(G61/$C61,2)</f>
        <v>16.649999999999999</v>
      </c>
      <c r="J61" s="112">
        <f>ROUND(0.5*(H61*$C61*$C61)/(1-H61/70),2)</f>
        <v>46.58</v>
      </c>
      <c r="K61" s="149">
        <f>ROUND(0.5*(I61*$C61*$C61)/(1-I61/70),2)</f>
        <v>42.82</v>
      </c>
      <c r="L61" s="139">
        <f t="shared" si="9"/>
        <v>1.49</v>
      </c>
      <c r="M61" s="229"/>
      <c r="O61" s="174">
        <f t="shared" si="8"/>
        <v>1.33</v>
      </c>
      <c r="P61" s="174">
        <f t="shared" si="10"/>
        <v>1.3</v>
      </c>
    </row>
    <row r="62" spans="1:23" x14ac:dyDescent="0.25">
      <c r="A62" s="73"/>
      <c r="B62" s="145">
        <v>2.9282407407407412E-3</v>
      </c>
      <c r="C62" s="211">
        <v>4.22</v>
      </c>
      <c r="D62" s="112">
        <v>550</v>
      </c>
      <c r="E62" s="73">
        <v>1380</v>
      </c>
      <c r="F62" s="148">
        <f t="shared" si="1"/>
        <v>44</v>
      </c>
      <c r="G62" s="149">
        <f t="shared" si="0"/>
        <v>110.4</v>
      </c>
      <c r="H62" s="112">
        <f>ROUND(F62/$C62,2)</f>
        <v>10.43</v>
      </c>
      <c r="I62" s="113">
        <f>ROUND(G62/$C62,2)</f>
        <v>26.16</v>
      </c>
      <c r="J62" s="112">
        <f>ROUND(0.5*(H62*$C62*$C62)/(1-H62/70),2)</f>
        <v>109.13</v>
      </c>
      <c r="K62" s="149">
        <f>ROUND(0.5*(I62*$C62*$C62)/(1-I62/70),2)</f>
        <v>371.93</v>
      </c>
      <c r="L62" s="139">
        <f t="shared" si="9"/>
        <v>8.0176999999999996</v>
      </c>
      <c r="M62" s="229"/>
      <c r="O62" s="174">
        <f t="shared" si="8"/>
        <v>2.48</v>
      </c>
      <c r="P62" s="174">
        <f t="shared" si="10"/>
        <v>3.37</v>
      </c>
    </row>
    <row r="63" spans="1:23" x14ac:dyDescent="0.25">
      <c r="A63" s="73"/>
      <c r="B63" s="145">
        <v>2.6388888888888885E-3</v>
      </c>
      <c r="C63" s="211">
        <v>3.8</v>
      </c>
      <c r="D63" s="112">
        <v>862</v>
      </c>
      <c r="E63" s="73">
        <v>1059</v>
      </c>
      <c r="F63" s="148">
        <f t="shared" si="1"/>
        <v>68.960000000000008</v>
      </c>
      <c r="G63" s="149">
        <f t="shared" si="0"/>
        <v>84.72</v>
      </c>
      <c r="H63" s="112">
        <f>ROUND(F63/$C63,2)</f>
        <v>18.149999999999999</v>
      </c>
      <c r="I63" s="113">
        <f>ROUND(G63/$C63,2)</f>
        <v>22.29</v>
      </c>
      <c r="J63" s="112">
        <f>ROUND(0.5*(H63*$C63*$C63)/(1-H63/70),2)</f>
        <v>176.91</v>
      </c>
      <c r="K63" s="149">
        <f>ROUND(0.5*(I63*$C63*$C63)/(1-I63/70),2)</f>
        <v>236.12</v>
      </c>
      <c r="L63" s="139">
        <f t="shared" si="9"/>
        <v>6.8837999999999999</v>
      </c>
      <c r="M63" s="229"/>
      <c r="O63" s="174">
        <f t="shared" si="8"/>
        <v>2.57</v>
      </c>
      <c r="P63" s="174">
        <f t="shared" si="10"/>
        <v>2.79</v>
      </c>
    </row>
    <row r="64" spans="1:23" x14ac:dyDescent="0.25">
      <c r="A64" s="73"/>
      <c r="B64" s="145">
        <v>1.2962962962962963E-3</v>
      </c>
      <c r="C64" s="211">
        <v>1.87</v>
      </c>
      <c r="D64" s="112">
        <v>426</v>
      </c>
      <c r="E64" s="73">
        <v>471</v>
      </c>
      <c r="F64" s="148">
        <f t="shared" si="1"/>
        <v>34.08</v>
      </c>
      <c r="G64" s="149">
        <f t="shared" si="0"/>
        <v>37.68</v>
      </c>
      <c r="H64" s="112">
        <f>ROUND(F64/$C64,2)</f>
        <v>18.22</v>
      </c>
      <c r="I64" s="113">
        <f>ROUND(G64/$C64,2)</f>
        <v>20.149999999999999</v>
      </c>
      <c r="J64" s="112">
        <f>ROUND(0.5*(H64*$C64*$C64)/(1-H64/70),2)</f>
        <v>43.07</v>
      </c>
      <c r="K64" s="149">
        <f>ROUND(0.5*(I64*$C64*$C64)/(1-I64/70),2)</f>
        <v>49.47</v>
      </c>
      <c r="L64" s="139">
        <f t="shared" si="9"/>
        <v>1.5423</v>
      </c>
      <c r="M64" s="229"/>
      <c r="O64" s="174">
        <f t="shared" si="8"/>
        <v>1.26</v>
      </c>
      <c r="P64" s="174">
        <f t="shared" si="10"/>
        <v>1.31</v>
      </c>
    </row>
    <row r="65" spans="1:21" ht="15.75" thickBot="1" x14ac:dyDescent="0.3">
      <c r="A65" s="73"/>
      <c r="B65" s="145">
        <v>1.2847222222222223E-3</v>
      </c>
      <c r="C65" s="211">
        <v>1.85</v>
      </c>
      <c r="D65" s="112">
        <v>258</v>
      </c>
      <c r="E65" s="73">
        <v>394</v>
      </c>
      <c r="F65" s="148">
        <f t="shared" si="1"/>
        <v>20.64</v>
      </c>
      <c r="G65" s="149">
        <f t="shared" si="0"/>
        <v>31.52</v>
      </c>
      <c r="H65" s="112">
        <f>ROUND(F65/$C65,2)</f>
        <v>11.16</v>
      </c>
      <c r="I65" s="113">
        <f>ROUND(G65/$C65,2)</f>
        <v>17.04</v>
      </c>
      <c r="J65" s="112">
        <f>ROUND(0.5*(H65*$C65*$C65)/(1-H65/70),2)</f>
        <v>22.72</v>
      </c>
      <c r="K65" s="149">
        <f>ROUND(0.5*(I65*$C65*$C65)/(1-I65/70),2)</f>
        <v>38.54</v>
      </c>
      <c r="L65" s="139">
        <f>ROUND((J65+K65)/60,4)</f>
        <v>1.0209999999999999</v>
      </c>
      <c r="M65" s="229"/>
      <c r="O65" s="174">
        <f t="shared" si="8"/>
        <v>1.1000000000000001</v>
      </c>
      <c r="P65" s="174">
        <f t="shared" si="10"/>
        <v>1.22</v>
      </c>
    </row>
    <row r="66" spans="1:21" x14ac:dyDescent="0.25">
      <c r="A66" s="73"/>
      <c r="B66" s="145">
        <v>1.0648148148148147E-3</v>
      </c>
      <c r="C66" s="211">
        <v>1.53</v>
      </c>
      <c r="D66" s="112">
        <v>224</v>
      </c>
      <c r="E66" s="73">
        <v>138</v>
      </c>
      <c r="F66" s="148">
        <f t="shared" si="1"/>
        <v>17.920000000000002</v>
      </c>
      <c r="G66" s="149">
        <f t="shared" si="0"/>
        <v>11.040000000000001</v>
      </c>
      <c r="H66" s="112">
        <f>ROUND(F66/$C66,2)</f>
        <v>11.71</v>
      </c>
      <c r="I66" s="113">
        <f>ROUND(G66/$C66,2)</f>
        <v>7.22</v>
      </c>
      <c r="J66" s="112">
        <f>ROUND(0.5*(H66*$C66*$C66)/(1-H66/70),2)</f>
        <v>16.46</v>
      </c>
      <c r="K66" s="149">
        <f>ROUND(0.5*(I66*$C66*$C66)/(1-I66/70),2)</f>
        <v>9.42</v>
      </c>
      <c r="L66" s="139">
        <f t="shared" ref="L66:L77" si="11">ROUND((J66+K66)/60,4)</f>
        <v>0.43130000000000002</v>
      </c>
      <c r="M66" s="229"/>
      <c r="O66" s="174">
        <f t="shared" si="8"/>
        <v>0.92</v>
      </c>
      <c r="P66" s="174">
        <f t="shared" si="10"/>
        <v>0.85</v>
      </c>
      <c r="R66" s="110" t="s">
        <v>162</v>
      </c>
      <c r="S66" s="127"/>
      <c r="T66" s="121"/>
      <c r="U66" s="111"/>
    </row>
    <row r="67" spans="1:21" x14ac:dyDescent="0.25">
      <c r="A67" s="73"/>
      <c r="B67" s="145">
        <v>5.0231481481481481E-3</v>
      </c>
      <c r="C67" s="211">
        <v>7.23</v>
      </c>
      <c r="D67" s="112">
        <v>1372</v>
      </c>
      <c r="E67" s="73">
        <v>852</v>
      </c>
      <c r="F67" s="148">
        <f t="shared" si="1"/>
        <v>109.76</v>
      </c>
      <c r="G67" s="149">
        <f t="shared" si="0"/>
        <v>68.16</v>
      </c>
      <c r="H67" s="112">
        <f>ROUND(F67/$C67,2)</f>
        <v>15.18</v>
      </c>
      <c r="I67" s="113">
        <f>ROUND(G67/$C67,2)</f>
        <v>9.43</v>
      </c>
      <c r="J67" s="112">
        <f>ROUND(0.5*(H67*$C67*$C67)/(1-H67/70),2)</f>
        <v>506.61</v>
      </c>
      <c r="K67" s="149">
        <f>ROUND(0.5*(I67*$C67*$C67)/(1-I67/70),2)</f>
        <v>284.83999999999997</v>
      </c>
      <c r="L67" s="139">
        <f t="shared" si="11"/>
        <v>13.190799999999999</v>
      </c>
      <c r="M67" s="229"/>
      <c r="O67" s="174">
        <f t="shared" si="8"/>
        <v>4.62</v>
      </c>
      <c r="P67" s="174">
        <f t="shared" si="10"/>
        <v>4.18</v>
      </c>
      <c r="R67" s="112" t="s">
        <v>152</v>
      </c>
      <c r="S67" s="73">
        <f>COUNT(B52:B72)</f>
        <v>21</v>
      </c>
      <c r="T67" s="122"/>
      <c r="U67" s="115"/>
    </row>
    <row r="68" spans="1:21" x14ac:dyDescent="0.25">
      <c r="A68" s="73"/>
      <c r="B68" s="145">
        <v>7.6388888888888893E-4</v>
      </c>
      <c r="C68" s="211">
        <v>1.1000000000000001</v>
      </c>
      <c r="D68" s="112">
        <v>136</v>
      </c>
      <c r="E68" s="73">
        <v>70</v>
      </c>
      <c r="F68" s="148">
        <f t="shared" si="1"/>
        <v>10.88</v>
      </c>
      <c r="G68" s="149">
        <f t="shared" si="0"/>
        <v>5.6000000000000005</v>
      </c>
      <c r="H68" s="112">
        <f>ROUND(F68/$C68,2)</f>
        <v>9.89</v>
      </c>
      <c r="I68" s="113">
        <f>ROUND(G68/$C68,2)</f>
        <v>5.09</v>
      </c>
      <c r="J68" s="112">
        <f>ROUND(0.5*(H68*$C68*$C68)/(1-H68/70),2)</f>
        <v>6.97</v>
      </c>
      <c r="K68" s="149">
        <f>ROUND(0.5*(I68*$C68*$C68)/(1-I68/70),2)</f>
        <v>3.32</v>
      </c>
      <c r="L68" s="139">
        <f t="shared" si="11"/>
        <v>0.17150000000000001</v>
      </c>
      <c r="M68" s="229"/>
      <c r="O68" s="174">
        <f t="shared" si="8"/>
        <v>0.64</v>
      </c>
      <c r="P68" s="174">
        <f t="shared" si="10"/>
        <v>0.59</v>
      </c>
      <c r="R68" s="114"/>
      <c r="S68" s="122"/>
      <c r="T68" s="183" t="s">
        <v>156</v>
      </c>
      <c r="U68" s="184"/>
    </row>
    <row r="69" spans="1:21" x14ac:dyDescent="0.25">
      <c r="A69" s="73"/>
      <c r="B69" s="145">
        <v>1.4930555555555556E-3</v>
      </c>
      <c r="C69" s="211">
        <v>2.15</v>
      </c>
      <c r="D69" s="112">
        <v>677</v>
      </c>
      <c r="E69" s="73">
        <v>214</v>
      </c>
      <c r="F69" s="148">
        <f t="shared" si="1"/>
        <v>54.160000000000004</v>
      </c>
      <c r="G69" s="149">
        <f t="shared" si="0"/>
        <v>17.12</v>
      </c>
      <c r="H69" s="112">
        <f>ROUND(F69/$C69,2)</f>
        <v>25.19</v>
      </c>
      <c r="I69" s="113">
        <f>ROUND(G69/$C69,2)</f>
        <v>7.96</v>
      </c>
      <c r="J69" s="112">
        <f>ROUND(0.5*(H69*$C69*$C69)/(1-H69/70),2)</f>
        <v>90.95</v>
      </c>
      <c r="K69" s="149">
        <f>ROUND(0.5*(I69*$C69*$C69)/(1-I69/70),2)</f>
        <v>20.76</v>
      </c>
      <c r="L69" s="139">
        <f t="shared" si="11"/>
        <v>1.8617999999999999</v>
      </c>
      <c r="M69" s="229"/>
      <c r="O69" s="174">
        <f t="shared" si="8"/>
        <v>1.68</v>
      </c>
      <c r="P69" s="174">
        <f t="shared" si="10"/>
        <v>1.21</v>
      </c>
      <c r="R69" s="114"/>
      <c r="S69" s="107" t="s">
        <v>150</v>
      </c>
      <c r="T69" s="107" t="s">
        <v>157</v>
      </c>
      <c r="U69" s="116" t="s">
        <v>158</v>
      </c>
    </row>
    <row r="70" spans="1:21" x14ac:dyDescent="0.25">
      <c r="A70" s="73"/>
      <c r="B70" s="145">
        <v>1.4004629629629629E-3</v>
      </c>
      <c r="C70" s="211">
        <v>2.02</v>
      </c>
      <c r="D70" s="112">
        <v>545</v>
      </c>
      <c r="E70" s="73">
        <v>370</v>
      </c>
      <c r="F70" s="148">
        <f t="shared" si="1"/>
        <v>43.6</v>
      </c>
      <c r="G70" s="149">
        <f t="shared" si="0"/>
        <v>29.6</v>
      </c>
      <c r="H70" s="112">
        <f>ROUND(F70/$C70,2)</f>
        <v>21.58</v>
      </c>
      <c r="I70" s="113">
        <f>ROUND(G70/$C70,2)</f>
        <v>14.65</v>
      </c>
      <c r="J70" s="112">
        <f>ROUND(0.5*(H70*$C70*$C70)/(1-H70/70),2)</f>
        <v>63.65</v>
      </c>
      <c r="K70" s="149">
        <f>ROUND(0.5*(I70*$C70*$C70)/(1-I70/70),2)</f>
        <v>37.799999999999997</v>
      </c>
      <c r="L70" s="139">
        <f t="shared" si="11"/>
        <v>1.6908000000000001</v>
      </c>
      <c r="M70" s="229"/>
      <c r="O70" s="174">
        <f t="shared" si="8"/>
        <v>1.46</v>
      </c>
      <c r="P70" s="174">
        <f t="shared" si="10"/>
        <v>1.28</v>
      </c>
      <c r="R70" s="112" t="s">
        <v>153</v>
      </c>
      <c r="S70" s="109">
        <f>AVERAGE(B52:B72)</f>
        <v>2.9260361552028219E-3</v>
      </c>
      <c r="T70" s="73">
        <f>AVERAGE(D52:D72)</f>
        <v>531.17647058823525</v>
      </c>
      <c r="U70" s="113">
        <f>AVERAGE(E52:E72)</f>
        <v>681.42857142857144</v>
      </c>
    </row>
    <row r="71" spans="1:21" x14ac:dyDescent="0.25">
      <c r="A71" s="73"/>
      <c r="B71" s="145">
        <v>5.9143518518518521E-3</v>
      </c>
      <c r="C71" s="211">
        <v>8.52</v>
      </c>
      <c r="D71" s="112">
        <v>1315</v>
      </c>
      <c r="E71" s="73">
        <v>1593</v>
      </c>
      <c r="F71" s="148">
        <f t="shared" si="1"/>
        <v>105.2</v>
      </c>
      <c r="G71" s="149">
        <f t="shared" si="0"/>
        <v>127.44</v>
      </c>
      <c r="H71" s="112">
        <f>ROUND(F71/$C71,2)</f>
        <v>12.35</v>
      </c>
      <c r="I71" s="113">
        <f>ROUND(G71/$C71,2)</f>
        <v>14.96</v>
      </c>
      <c r="J71" s="112">
        <f>ROUND(0.5*(H71*$C71*$C71)/(1-H71/70),2)</f>
        <v>544.27</v>
      </c>
      <c r="K71" s="149">
        <f>ROUND(0.5*(I71*$C71*$C71)/(1-I71/70),2)</f>
        <v>690.56</v>
      </c>
      <c r="L71" s="139">
        <f t="shared" si="11"/>
        <v>20.580500000000001</v>
      </c>
      <c r="M71" s="230" t="s">
        <v>162</v>
      </c>
      <c r="O71" s="174">
        <f t="shared" si="8"/>
        <v>5.17</v>
      </c>
      <c r="P71" s="174">
        <f t="shared" si="10"/>
        <v>5.42</v>
      </c>
      <c r="R71" s="112" t="s">
        <v>154</v>
      </c>
      <c r="S71" s="109">
        <f>MAX(B52:B72)</f>
        <v>1.3125E-2</v>
      </c>
      <c r="T71" s="73">
        <f>MAX(D52:D72)</f>
        <v>1372</v>
      </c>
      <c r="U71" s="128">
        <f>MAX(E52:E72)</f>
        <v>1593</v>
      </c>
    </row>
    <row r="72" spans="1:21" ht="15.75" thickBot="1" x14ac:dyDescent="0.3">
      <c r="A72" s="73"/>
      <c r="B72" s="145">
        <v>9.0162037037037034E-3</v>
      </c>
      <c r="C72" s="211">
        <v>12.98</v>
      </c>
      <c r="D72" s="112">
        <v>814</v>
      </c>
      <c r="E72" s="73">
        <v>847</v>
      </c>
      <c r="F72" s="148">
        <f t="shared" si="1"/>
        <v>65.12</v>
      </c>
      <c r="G72" s="149">
        <f t="shared" si="0"/>
        <v>67.760000000000005</v>
      </c>
      <c r="H72" s="112">
        <f>ROUND(F72/$C72,2)</f>
        <v>5.0199999999999996</v>
      </c>
      <c r="I72" s="113">
        <f>ROUND(G72/$C72,2)</f>
        <v>5.22</v>
      </c>
      <c r="J72" s="112">
        <f>ROUND(0.5*(H72*$C72*$C72)/(1-H72/70),2)</f>
        <v>455.56</v>
      </c>
      <c r="K72" s="149">
        <f>ROUND(0.5*(I72*$C72*$C72)/(1-I72/70),2)</f>
        <v>475.17</v>
      </c>
      <c r="L72" s="139">
        <f t="shared" si="11"/>
        <v>15.5122</v>
      </c>
      <c r="M72" s="233">
        <f>SUM(L52:L72)</f>
        <v>93.025100000000009</v>
      </c>
      <c r="O72" s="174">
        <f t="shared" si="8"/>
        <v>7</v>
      </c>
      <c r="P72" s="174">
        <f t="shared" si="10"/>
        <v>7.01</v>
      </c>
      <c r="R72" s="118" t="s">
        <v>155</v>
      </c>
      <c r="S72" s="123">
        <f>MIN(B52:B72)</f>
        <v>5.6712962962962956E-4</v>
      </c>
      <c r="T72" s="124">
        <f>MIN(D52:D72)</f>
        <v>32</v>
      </c>
      <c r="U72" s="129">
        <f>MIN(E52:E72)</f>
        <v>70</v>
      </c>
    </row>
    <row r="73" spans="1:21" x14ac:dyDescent="0.25">
      <c r="C73" s="212"/>
      <c r="D73" s="114"/>
      <c r="E73" s="239"/>
      <c r="F73" t="s">
        <v>139</v>
      </c>
      <c r="G73" t="s">
        <v>139</v>
      </c>
      <c r="H73" s="114"/>
      <c r="I73" s="115"/>
      <c r="J73" s="114"/>
      <c r="K73" s="122"/>
      <c r="L73" s="232"/>
      <c r="M73" s="4"/>
    </row>
    <row r="74" spans="1:21" x14ac:dyDescent="0.25">
      <c r="A74" s="108">
        <v>41774</v>
      </c>
      <c r="B74" s="145">
        <v>5.4398148148148144E-4</v>
      </c>
      <c r="C74" s="211">
        <v>0.78</v>
      </c>
      <c r="D74" s="112"/>
      <c r="E74" s="73"/>
      <c r="F74" s="148">
        <f t="shared" si="1"/>
        <v>0</v>
      </c>
      <c r="G74" s="149">
        <f t="shared" si="0"/>
        <v>0</v>
      </c>
      <c r="H74" s="112">
        <f>ROUND(F74/$C74,2)</f>
        <v>0</v>
      </c>
      <c r="I74" s="113">
        <f>ROUND(G74/$C74,2)</f>
        <v>0</v>
      </c>
      <c r="J74" s="112">
        <f>ROUND(0.5*(H74*$C74*$C74)/(1-H74/70),2)</f>
        <v>0</v>
      </c>
      <c r="K74" s="149">
        <f>ROUND(0.5*(I74*$C74*$C74)/(1-I74/70),2)</f>
        <v>0</v>
      </c>
      <c r="L74" s="139">
        <f t="shared" si="11"/>
        <v>0</v>
      </c>
      <c r="M74" s="229"/>
      <c r="O74" s="174" t="s">
        <v>139</v>
      </c>
      <c r="P74" s="174" t="s">
        <v>139</v>
      </c>
    </row>
    <row r="75" spans="1:21" x14ac:dyDescent="0.25">
      <c r="A75" s="73" t="s">
        <v>163</v>
      </c>
      <c r="B75" s="145">
        <v>1.8298611111111113E-2</v>
      </c>
      <c r="C75" s="211">
        <v>26.35</v>
      </c>
      <c r="D75" s="112">
        <v>237</v>
      </c>
      <c r="E75" s="73">
        <v>575</v>
      </c>
      <c r="F75" s="148">
        <f t="shared" si="1"/>
        <v>18.96</v>
      </c>
      <c r="G75" s="149">
        <f t="shared" si="0"/>
        <v>46</v>
      </c>
      <c r="H75" s="112">
        <f>ROUND(F75/$C75,2)</f>
        <v>0.72</v>
      </c>
      <c r="I75" s="113">
        <f>ROUND(G75/$C75,2)</f>
        <v>1.75</v>
      </c>
      <c r="J75" s="112">
        <f>ROUND(0.5*(H75*$C75*$C75)/(1-H75/70),2)</f>
        <v>252.55</v>
      </c>
      <c r="K75" s="149">
        <f>ROUND(0.5*(I75*$C75*$C75)/(1-I75/70),2)</f>
        <v>623.11</v>
      </c>
      <c r="L75" s="139">
        <f t="shared" si="11"/>
        <v>14.5943</v>
      </c>
      <c r="M75" s="229"/>
      <c r="O75" s="174">
        <f t="shared" ref="O75:O89" si="12">ROUND((J75/F75),2)</f>
        <v>13.32</v>
      </c>
      <c r="P75" s="174">
        <f t="shared" ref="P75:P89" si="13">ROUND((K75/G75),2)</f>
        <v>13.55</v>
      </c>
    </row>
    <row r="76" spans="1:21" x14ac:dyDescent="0.25">
      <c r="A76" s="73"/>
      <c r="B76" s="145">
        <v>2.6030092592592594E-2</v>
      </c>
      <c r="C76" s="211">
        <v>37.479999999999997</v>
      </c>
      <c r="D76" s="112">
        <v>499</v>
      </c>
      <c r="E76" s="73">
        <v>653</v>
      </c>
      <c r="F76" s="148">
        <f t="shared" si="1"/>
        <v>39.92</v>
      </c>
      <c r="G76" s="149">
        <f t="shared" si="0"/>
        <v>52.24</v>
      </c>
      <c r="H76" s="112">
        <f>ROUND(F76/$C76,2)</f>
        <v>1.07</v>
      </c>
      <c r="I76" s="113">
        <f>ROUND(G76/$C76,2)</f>
        <v>1.39</v>
      </c>
      <c r="J76" s="112">
        <f>ROUND(0.5*(H76*$C76*$C76)/(1-H76/70),2)</f>
        <v>763.21</v>
      </c>
      <c r="K76" s="149">
        <f>ROUND(0.5*(I76*$C76*$C76)/(1-I76/70),2)</f>
        <v>996.08</v>
      </c>
      <c r="L76" s="139">
        <f t="shared" si="11"/>
        <v>29.3215</v>
      </c>
      <c r="M76" s="229"/>
      <c r="O76" s="174">
        <f t="shared" si="12"/>
        <v>19.12</v>
      </c>
      <c r="P76" s="174">
        <f t="shared" si="13"/>
        <v>19.07</v>
      </c>
    </row>
    <row r="77" spans="1:21" x14ac:dyDescent="0.25">
      <c r="A77" s="73"/>
      <c r="B77" s="145">
        <v>6.4814814814814813E-3</v>
      </c>
      <c r="C77" s="211">
        <v>9.33</v>
      </c>
      <c r="D77" s="112">
        <v>535</v>
      </c>
      <c r="E77" s="73">
        <v>658</v>
      </c>
      <c r="F77" s="148">
        <f t="shared" si="1"/>
        <v>42.800000000000004</v>
      </c>
      <c r="G77" s="149">
        <f t="shared" si="0"/>
        <v>52.64</v>
      </c>
      <c r="H77" s="112">
        <f>ROUND(F77/$C77,2)</f>
        <v>4.59</v>
      </c>
      <c r="I77" s="113">
        <f>ROUND(G77/$C77,2)</f>
        <v>5.64</v>
      </c>
      <c r="J77" s="112">
        <f>ROUND(0.5*(H77*$C77*$C77)/(1-H77/70),2)</f>
        <v>213.8</v>
      </c>
      <c r="K77" s="149">
        <f>ROUND(0.5*(I77*$C77*$C77)/(1-I77/70),2)</f>
        <v>266.99</v>
      </c>
      <c r="L77" s="139">
        <f t="shared" si="11"/>
        <v>8.0131999999999994</v>
      </c>
      <c r="M77" s="229"/>
      <c r="O77" s="174">
        <f t="shared" si="12"/>
        <v>5</v>
      </c>
      <c r="P77" s="174">
        <f t="shared" si="13"/>
        <v>5.07</v>
      </c>
    </row>
    <row r="78" spans="1:21" x14ac:dyDescent="0.25">
      <c r="A78" s="73"/>
      <c r="B78" s="145">
        <v>3.0787037037037037E-3</v>
      </c>
      <c r="C78" s="211">
        <v>4.43</v>
      </c>
      <c r="D78" s="112">
        <v>766</v>
      </c>
      <c r="E78" s="73">
        <v>817</v>
      </c>
      <c r="F78" s="148">
        <f t="shared" si="1"/>
        <v>61.28</v>
      </c>
      <c r="G78" s="149">
        <f t="shared" si="0"/>
        <v>65.36</v>
      </c>
      <c r="H78" s="112">
        <f>ROUND(F78/$C78,2)</f>
        <v>13.83</v>
      </c>
      <c r="I78" s="113">
        <f>ROUND(G78/$C78,2)</f>
        <v>14.75</v>
      </c>
      <c r="J78" s="112">
        <f>ROUND(0.5*(H78*$C78*$C78)/(1-H78/70),2)</f>
        <v>169.12</v>
      </c>
      <c r="K78" s="149">
        <f>ROUND(0.5*(I78*$C78*$C78)/(1-I78/70),2)</f>
        <v>183.37</v>
      </c>
      <c r="L78" s="139">
        <f>ROUND((J78+K78)/60,4)</f>
        <v>5.8747999999999996</v>
      </c>
      <c r="M78" s="229"/>
      <c r="O78" s="174">
        <f t="shared" si="12"/>
        <v>2.76</v>
      </c>
      <c r="P78" s="174">
        <f t="shared" si="13"/>
        <v>2.81</v>
      </c>
    </row>
    <row r="79" spans="1:21" x14ac:dyDescent="0.25">
      <c r="A79" s="73"/>
      <c r="B79" s="145">
        <v>3.9120370370370368E-3</v>
      </c>
      <c r="C79" s="211">
        <v>5.63</v>
      </c>
      <c r="D79" s="112">
        <v>1047</v>
      </c>
      <c r="E79" s="73">
        <v>967</v>
      </c>
      <c r="F79" s="148">
        <f t="shared" si="1"/>
        <v>83.76</v>
      </c>
      <c r="G79" s="149">
        <f t="shared" si="0"/>
        <v>77.36</v>
      </c>
      <c r="H79" s="112">
        <f>ROUND(F79/$C79,2)</f>
        <v>14.88</v>
      </c>
      <c r="I79" s="113">
        <f>ROUND(G79/$C79,2)</f>
        <v>13.74</v>
      </c>
      <c r="J79" s="112">
        <f>ROUND(0.5*(H79*$C79*$C79)/(1-H79/70),2)</f>
        <v>299.49</v>
      </c>
      <c r="K79" s="149">
        <f>ROUND(0.5*(I79*$C79*$C79)/(1-I79/70),2)</f>
        <v>270.94</v>
      </c>
      <c r="L79" s="139">
        <f t="shared" ref="L79:L89" si="14">ROUND((J79+K79)/60,4)</f>
        <v>9.5071999999999992</v>
      </c>
      <c r="M79" s="229"/>
      <c r="O79" s="174">
        <f t="shared" si="12"/>
        <v>3.58</v>
      </c>
      <c r="P79" s="174">
        <f t="shared" si="13"/>
        <v>3.5</v>
      </c>
    </row>
    <row r="80" spans="1:21" x14ac:dyDescent="0.25">
      <c r="A80" s="73"/>
      <c r="B80" s="145">
        <v>3.2523148148148151E-3</v>
      </c>
      <c r="C80" s="211">
        <v>4.68</v>
      </c>
      <c r="D80" s="112">
        <v>1153</v>
      </c>
      <c r="E80" s="73">
        <v>1261</v>
      </c>
      <c r="F80" s="148">
        <f t="shared" si="1"/>
        <v>92.24</v>
      </c>
      <c r="G80" s="149">
        <f t="shared" si="0"/>
        <v>100.88</v>
      </c>
      <c r="H80" s="112">
        <f>ROUND(F80/$C80,2)</f>
        <v>19.71</v>
      </c>
      <c r="I80" s="113">
        <f>ROUND(G80/$C80,2)</f>
        <v>21.56</v>
      </c>
      <c r="J80" s="112">
        <f>ROUND(0.5*(H80*$C80*$C80)/(1-H80/70),2)</f>
        <v>300.44</v>
      </c>
      <c r="K80" s="149">
        <f>ROUND(0.5*(I80*$C80*$C80)/(1-I80/70),2)</f>
        <v>341.2</v>
      </c>
      <c r="L80" s="139">
        <f t="shared" si="14"/>
        <v>10.694000000000001</v>
      </c>
      <c r="M80" s="229"/>
      <c r="O80" s="174">
        <f t="shared" si="12"/>
        <v>3.26</v>
      </c>
      <c r="P80" s="174">
        <f t="shared" si="13"/>
        <v>3.38</v>
      </c>
    </row>
    <row r="81" spans="1:21" x14ac:dyDescent="0.25">
      <c r="A81" s="73"/>
      <c r="B81" s="145">
        <v>6.4814814814814813E-4</v>
      </c>
      <c r="C81" s="211">
        <v>0.93</v>
      </c>
      <c r="D81" s="112">
        <v>50</v>
      </c>
      <c r="E81" s="73">
        <v>300</v>
      </c>
      <c r="F81" s="148">
        <f t="shared" si="1"/>
        <v>4</v>
      </c>
      <c r="G81" s="149">
        <f t="shared" si="0"/>
        <v>24</v>
      </c>
      <c r="H81" s="112">
        <f>ROUND(F81/$C81,2)</f>
        <v>4.3</v>
      </c>
      <c r="I81" s="113">
        <f>ROUND(G81/$C81,2)</f>
        <v>25.81</v>
      </c>
      <c r="J81" s="112">
        <f>ROUND(0.5*(H81*$C81*$C81)/(1-H81/70),2)</f>
        <v>1.98</v>
      </c>
      <c r="K81" s="149">
        <f>ROUND(0.5*(I81*$C81*$C81)/(1-I81/70),2)</f>
        <v>17.68</v>
      </c>
      <c r="L81" s="139">
        <f t="shared" si="14"/>
        <v>0.32769999999999999</v>
      </c>
      <c r="M81" s="229"/>
      <c r="O81" s="174">
        <f t="shared" si="12"/>
        <v>0.5</v>
      </c>
      <c r="P81" s="174">
        <f t="shared" si="13"/>
        <v>0.74</v>
      </c>
    </row>
    <row r="82" spans="1:21" ht="15.75" thickBot="1" x14ac:dyDescent="0.3">
      <c r="A82" s="73"/>
      <c r="B82" s="145">
        <v>1.3657407407407409E-3</v>
      </c>
      <c r="C82" s="211">
        <v>1.97</v>
      </c>
      <c r="D82" s="112">
        <v>431</v>
      </c>
      <c r="E82" s="73">
        <v>532</v>
      </c>
      <c r="F82" s="148">
        <f t="shared" si="1"/>
        <v>34.480000000000004</v>
      </c>
      <c r="G82" s="149">
        <f t="shared" si="0"/>
        <v>42.56</v>
      </c>
      <c r="H82" s="112">
        <f>ROUND(F82/$C82,2)</f>
        <v>17.5</v>
      </c>
      <c r="I82" s="113">
        <f>ROUND(G82/$C82,2)</f>
        <v>21.6</v>
      </c>
      <c r="J82" s="112">
        <f>ROUND(0.5*(H82*$C82*$C82)/(1-H82/70),2)</f>
        <v>45.28</v>
      </c>
      <c r="K82" s="149">
        <f>ROUND(0.5*(I82*$C82*$C82)/(1-I82/70),2)</f>
        <v>60.62</v>
      </c>
      <c r="L82" s="139">
        <f t="shared" si="14"/>
        <v>1.7649999999999999</v>
      </c>
      <c r="M82" s="229"/>
      <c r="O82" s="174">
        <f t="shared" si="12"/>
        <v>1.31</v>
      </c>
      <c r="P82" s="174">
        <f t="shared" si="13"/>
        <v>1.42</v>
      </c>
    </row>
    <row r="83" spans="1:21" x14ac:dyDescent="0.25">
      <c r="A83" s="73"/>
      <c r="B83" s="145">
        <v>1.2268518518518518E-3</v>
      </c>
      <c r="C83" s="211">
        <v>1.77</v>
      </c>
      <c r="D83" s="112">
        <v>461</v>
      </c>
      <c r="E83" s="73">
        <v>559</v>
      </c>
      <c r="F83" s="148">
        <f t="shared" si="1"/>
        <v>36.880000000000003</v>
      </c>
      <c r="G83" s="149">
        <f t="shared" si="0"/>
        <v>44.72</v>
      </c>
      <c r="H83" s="112">
        <f>ROUND(F83/$C83,2)</f>
        <v>20.84</v>
      </c>
      <c r="I83" s="113">
        <f>ROUND(G83/$C83,2)</f>
        <v>25.27</v>
      </c>
      <c r="J83" s="112">
        <f>ROUND(0.5*(H83*$C83*$C83)/(1-H83/70),2)</f>
        <v>46.48</v>
      </c>
      <c r="K83" s="149">
        <f>ROUND(0.5*(I83*$C83*$C83)/(1-I83/70),2)</f>
        <v>61.95</v>
      </c>
      <c r="L83" s="139">
        <f t="shared" si="14"/>
        <v>1.8071999999999999</v>
      </c>
      <c r="M83" s="229"/>
      <c r="O83" s="174">
        <f t="shared" si="12"/>
        <v>1.26</v>
      </c>
      <c r="P83" s="174">
        <f t="shared" si="13"/>
        <v>1.39</v>
      </c>
      <c r="R83" s="110" t="s">
        <v>163</v>
      </c>
      <c r="S83" s="121"/>
      <c r="T83" s="121"/>
      <c r="U83" s="111"/>
    </row>
    <row r="84" spans="1:21" x14ac:dyDescent="0.25">
      <c r="A84" s="73"/>
      <c r="B84" s="145">
        <v>3.1828703703703702E-3</v>
      </c>
      <c r="C84" s="211">
        <v>4.58</v>
      </c>
      <c r="D84" s="112">
        <v>751</v>
      </c>
      <c r="E84" s="73">
        <v>524</v>
      </c>
      <c r="F84" s="148">
        <f t="shared" si="1"/>
        <v>60.08</v>
      </c>
      <c r="G84" s="149">
        <f t="shared" si="0"/>
        <v>41.92</v>
      </c>
      <c r="H84" s="112">
        <f>ROUND(F84/$C84,2)</f>
        <v>13.12</v>
      </c>
      <c r="I84" s="113">
        <f>ROUND(G84/$C84,2)</f>
        <v>9.15</v>
      </c>
      <c r="J84" s="112">
        <f>ROUND(0.5*(H84*$C84*$C84)/(1-H84/70),2)</f>
        <v>169.35</v>
      </c>
      <c r="K84" s="149">
        <f>ROUND(0.5*(I84*$C84*$C84)/(1-I84/70),2)</f>
        <v>110.4</v>
      </c>
      <c r="L84" s="139">
        <f t="shared" si="14"/>
        <v>4.6624999999999996</v>
      </c>
      <c r="M84" s="229"/>
      <c r="O84" s="174">
        <f t="shared" si="12"/>
        <v>2.82</v>
      </c>
      <c r="P84" s="174">
        <f t="shared" si="13"/>
        <v>2.63</v>
      </c>
      <c r="R84" s="112" t="s">
        <v>152</v>
      </c>
      <c r="S84" s="73">
        <f>COUNT(B74:B89)</f>
        <v>16</v>
      </c>
      <c r="T84" s="122"/>
      <c r="U84" s="115"/>
    </row>
    <row r="85" spans="1:21" x14ac:dyDescent="0.25">
      <c r="A85" s="73"/>
      <c r="B85" s="145">
        <v>7.291666666666667E-4</v>
      </c>
      <c r="C85" s="211">
        <v>1.05</v>
      </c>
      <c r="D85" s="112">
        <v>110</v>
      </c>
      <c r="E85" s="73">
        <v>120</v>
      </c>
      <c r="F85" s="148">
        <f t="shared" si="1"/>
        <v>8.8000000000000007</v>
      </c>
      <c r="G85" s="149">
        <f t="shared" si="0"/>
        <v>9.6</v>
      </c>
      <c r="H85" s="112">
        <f>ROUND(F85/$C85,2)</f>
        <v>8.3800000000000008</v>
      </c>
      <c r="I85" s="113">
        <f>ROUND(G85/$C85,2)</f>
        <v>9.14</v>
      </c>
      <c r="J85" s="112">
        <f>ROUND(0.5*(H85*$C85*$C85)/(1-H85/70),2)</f>
        <v>5.25</v>
      </c>
      <c r="K85" s="149">
        <f>ROUND(0.5*(I85*$C85*$C85)/(1-I85/70),2)</f>
        <v>5.8</v>
      </c>
      <c r="L85" s="139">
        <f t="shared" si="14"/>
        <v>0.1842</v>
      </c>
      <c r="M85" s="229"/>
      <c r="O85" s="174">
        <f t="shared" si="12"/>
        <v>0.6</v>
      </c>
      <c r="P85" s="174">
        <f t="shared" si="13"/>
        <v>0.6</v>
      </c>
      <c r="R85" s="114"/>
      <c r="S85" s="122"/>
      <c r="T85" s="183" t="s">
        <v>156</v>
      </c>
      <c r="U85" s="184"/>
    </row>
    <row r="86" spans="1:21" x14ac:dyDescent="0.25">
      <c r="A86" s="73"/>
      <c r="B86" s="145">
        <v>5.2893518518518515E-3</v>
      </c>
      <c r="C86" s="211">
        <v>7.62</v>
      </c>
      <c r="D86" s="112">
        <v>1345</v>
      </c>
      <c r="E86" s="73">
        <v>1475</v>
      </c>
      <c r="F86" s="148">
        <f t="shared" si="1"/>
        <v>107.60000000000001</v>
      </c>
      <c r="G86" s="149">
        <f t="shared" si="0"/>
        <v>118</v>
      </c>
      <c r="H86" s="112">
        <f>ROUND(F86/$C86,2)</f>
        <v>14.12</v>
      </c>
      <c r="I86" s="113">
        <f>ROUND(G86/$C86,2)</f>
        <v>15.49</v>
      </c>
      <c r="J86" s="112">
        <f>ROUND(0.5*(H86*$C86*$C86)/(1-H86/70),2)</f>
        <v>513.52</v>
      </c>
      <c r="K86" s="149">
        <f>ROUND(0.5*(I86*$C86*$C86)/(1-I86/70),2)</f>
        <v>577.5</v>
      </c>
      <c r="L86" s="139">
        <f t="shared" si="14"/>
        <v>18.183700000000002</v>
      </c>
      <c r="M86" s="229"/>
      <c r="O86" s="174">
        <f t="shared" si="12"/>
        <v>4.7699999999999996</v>
      </c>
      <c r="P86" s="174">
        <f t="shared" si="13"/>
        <v>4.8899999999999997</v>
      </c>
      <c r="R86" s="114"/>
      <c r="S86" s="107" t="s">
        <v>150</v>
      </c>
      <c r="T86" s="107" t="s">
        <v>157</v>
      </c>
      <c r="U86" s="116" t="s">
        <v>158</v>
      </c>
    </row>
    <row r="87" spans="1:21" x14ac:dyDescent="0.25">
      <c r="A87" s="73"/>
      <c r="B87" s="145">
        <v>1.3888888888888889E-3</v>
      </c>
      <c r="C87" s="211">
        <v>2</v>
      </c>
      <c r="D87" s="112">
        <v>518</v>
      </c>
      <c r="E87" s="73">
        <v>754</v>
      </c>
      <c r="F87" s="148">
        <f t="shared" si="1"/>
        <v>41.44</v>
      </c>
      <c r="G87" s="149">
        <f t="shared" si="0"/>
        <v>60.32</v>
      </c>
      <c r="H87" s="112">
        <f>ROUND(F87/$C87,2)</f>
        <v>20.72</v>
      </c>
      <c r="I87" s="113">
        <f>ROUND(G87/$C87,2)</f>
        <v>30.16</v>
      </c>
      <c r="J87" s="112">
        <f>ROUND(0.5*(H87*$C87*$C87)/(1-H87/70),2)</f>
        <v>58.86</v>
      </c>
      <c r="K87" s="149">
        <f>ROUND(0.5*(I87*$C87*$C87)/(1-I87/70),2)</f>
        <v>105.98</v>
      </c>
      <c r="L87" s="139">
        <f t="shared" si="14"/>
        <v>2.7473000000000001</v>
      </c>
      <c r="M87" s="229"/>
      <c r="O87" s="174">
        <f t="shared" si="12"/>
        <v>1.42</v>
      </c>
      <c r="P87" s="174">
        <f t="shared" si="13"/>
        <v>1.76</v>
      </c>
      <c r="R87" s="112" t="s">
        <v>153</v>
      </c>
      <c r="S87" s="109">
        <f>AVERAGE(B74:B89)</f>
        <v>5.0672743055555558E-3</v>
      </c>
      <c r="T87" s="73">
        <f>AVERAGE(D74:D89)</f>
        <v>621.86666666666667</v>
      </c>
      <c r="U87" s="113">
        <f>AVERAGE(E74:E89)</f>
        <v>746.93333333333328</v>
      </c>
    </row>
    <row r="88" spans="1:21" x14ac:dyDescent="0.25">
      <c r="A88" s="73"/>
      <c r="B88" s="145">
        <v>5.115740740740741E-3</v>
      </c>
      <c r="C88" s="211">
        <v>7.37</v>
      </c>
      <c r="D88" s="112">
        <v>1252</v>
      </c>
      <c r="E88" s="73">
        <v>1712</v>
      </c>
      <c r="F88" s="148">
        <f t="shared" si="1"/>
        <v>100.16</v>
      </c>
      <c r="G88" s="149">
        <f t="shared" ref="G88:G113" si="15">SUM(E88*(2/25))</f>
        <v>136.96</v>
      </c>
      <c r="H88" s="112">
        <f>ROUND(F88/$C88,2)</f>
        <v>13.59</v>
      </c>
      <c r="I88" s="113">
        <f>ROUND(G88/$C88,2)</f>
        <v>18.579999999999998</v>
      </c>
      <c r="J88" s="112">
        <f>ROUND(0.5*(H88*$C88*$C88)/(1-H88/70),2)</f>
        <v>458</v>
      </c>
      <c r="K88" s="149">
        <f>ROUND(0.5*(I88*$C88*$C88)/(1-I88/70),2)</f>
        <v>686.94</v>
      </c>
      <c r="L88" s="139">
        <f t="shared" si="14"/>
        <v>19.0823</v>
      </c>
      <c r="M88" s="230" t="s">
        <v>163</v>
      </c>
      <c r="O88" s="174">
        <f t="shared" si="12"/>
        <v>4.57</v>
      </c>
      <c r="P88" s="174">
        <f t="shared" si="13"/>
        <v>5.0199999999999996</v>
      </c>
      <c r="R88" s="112" t="s">
        <v>154</v>
      </c>
      <c r="S88" s="109">
        <f>MAX(B74:B89)</f>
        <v>2.6030092592592594E-2</v>
      </c>
      <c r="T88" s="73">
        <f>MAX(D74:D89)</f>
        <v>1345</v>
      </c>
      <c r="U88" s="128">
        <f>MAX(E74:E89)</f>
        <v>1712</v>
      </c>
    </row>
    <row r="89" spans="1:21" ht="15.75" thickBot="1" x14ac:dyDescent="0.3">
      <c r="A89" s="73"/>
      <c r="B89" s="145">
        <v>5.3240740740740744E-4</v>
      </c>
      <c r="C89" s="211">
        <v>0.77</v>
      </c>
      <c r="D89" s="112">
        <v>173</v>
      </c>
      <c r="E89" s="73">
        <v>297</v>
      </c>
      <c r="F89" s="148">
        <f t="shared" ref="F89:F113" si="16">SUM(D89*(2/25))</f>
        <v>13.84</v>
      </c>
      <c r="G89" s="149">
        <f t="shared" si="15"/>
        <v>23.76</v>
      </c>
      <c r="H89" s="112">
        <f>ROUND(F89/$C89,2)</f>
        <v>17.97</v>
      </c>
      <c r="I89" s="113">
        <f>ROUND(G89/$C89,2)</f>
        <v>30.86</v>
      </c>
      <c r="J89" s="112">
        <f>ROUND(0.5*(H89*$C89*$C89)/(1-H89/70),2)</f>
        <v>7.17</v>
      </c>
      <c r="K89" s="149">
        <f>ROUND(0.5*(I89*$C89*$C89)/(1-I89/70),2)</f>
        <v>16.36</v>
      </c>
      <c r="L89" s="139">
        <f t="shared" si="14"/>
        <v>0.39219999999999999</v>
      </c>
      <c r="M89" s="231">
        <f>SUM(L74:L89)</f>
        <v>127.1571</v>
      </c>
      <c r="O89" s="174">
        <f t="shared" si="12"/>
        <v>0.52</v>
      </c>
      <c r="P89" s="174">
        <f t="shared" si="13"/>
        <v>0.69</v>
      </c>
      <c r="R89" s="118" t="s">
        <v>155</v>
      </c>
      <c r="S89" s="123">
        <f>MIN(B74:B89)</f>
        <v>5.3240740740740744E-4</v>
      </c>
      <c r="T89" s="124">
        <f>MIN(D74:D89)</f>
        <v>50</v>
      </c>
      <c r="U89" s="129">
        <f>MIN(E74:E89)</f>
        <v>120</v>
      </c>
    </row>
    <row r="90" spans="1:21" x14ac:dyDescent="0.25">
      <c r="C90" s="212"/>
      <c r="D90" s="114"/>
      <c r="E90" s="239"/>
      <c r="F90" t="s">
        <v>139</v>
      </c>
      <c r="G90" t="s">
        <v>139</v>
      </c>
      <c r="H90" s="114"/>
      <c r="I90" s="115"/>
      <c r="J90" s="114"/>
      <c r="K90" s="122"/>
      <c r="L90" s="232"/>
      <c r="M90" s="4"/>
    </row>
    <row r="91" spans="1:21" x14ac:dyDescent="0.25">
      <c r="A91" s="108">
        <v>41775</v>
      </c>
      <c r="B91" s="145">
        <v>3.6921296296296298E-3</v>
      </c>
      <c r="C91" s="211">
        <v>5.32</v>
      </c>
      <c r="D91" s="112"/>
      <c r="E91" s="73">
        <v>87</v>
      </c>
      <c r="F91" s="148">
        <f t="shared" si="16"/>
        <v>0</v>
      </c>
      <c r="G91" s="149">
        <f t="shared" si="15"/>
        <v>6.96</v>
      </c>
      <c r="H91" s="112">
        <f>ROUND(F91/$C91,2)</f>
        <v>0</v>
      </c>
      <c r="I91" s="113">
        <f>ROUND(G91/$C91,2)</f>
        <v>1.31</v>
      </c>
      <c r="J91" s="112">
        <f>ROUND(0.5*(H91*$C91*$C91)/(1-H91/70),2)</f>
        <v>0</v>
      </c>
      <c r="K91" s="149">
        <f>ROUND(0.5*(I91*$C91*$C91)/(1-I91/70),2)</f>
        <v>18.89</v>
      </c>
      <c r="L91" s="139">
        <f t="shared" ref="L91:L94" si="17">ROUND((J91+K91)/60,4)</f>
        <v>0.31480000000000002</v>
      </c>
      <c r="M91" s="229"/>
      <c r="O91" s="174" t="s">
        <v>139</v>
      </c>
      <c r="P91" s="174">
        <f t="shared" ref="P91:P113" si="18">ROUND((K91/G91),2)</f>
        <v>2.71</v>
      </c>
    </row>
    <row r="92" spans="1:21" x14ac:dyDescent="0.25">
      <c r="A92" s="73" t="s">
        <v>164</v>
      </c>
      <c r="B92" s="145">
        <v>9.2592592592592585E-4</v>
      </c>
      <c r="C92" s="211">
        <v>1.33</v>
      </c>
      <c r="D92" s="112"/>
      <c r="E92" s="73"/>
      <c r="F92" s="148">
        <f t="shared" si="16"/>
        <v>0</v>
      </c>
      <c r="G92" s="149">
        <f t="shared" si="15"/>
        <v>0</v>
      </c>
      <c r="H92" s="112">
        <f>ROUND(F92/$C92,2)</f>
        <v>0</v>
      </c>
      <c r="I92" s="113">
        <f>ROUND(G92/$C92,2)</f>
        <v>0</v>
      </c>
      <c r="J92" s="112">
        <f>ROUND(0.5*(H92*$C92*$C92)/(1-H92/70),2)</f>
        <v>0</v>
      </c>
      <c r="K92" s="149">
        <f>ROUND(0.5*(I92*$C92*$C92)/(1-I92/70),2)</f>
        <v>0</v>
      </c>
      <c r="L92" s="139">
        <f t="shared" si="17"/>
        <v>0</v>
      </c>
      <c r="M92" s="229"/>
      <c r="O92" s="174" t="s">
        <v>139</v>
      </c>
      <c r="P92" s="174" t="s">
        <v>139</v>
      </c>
    </row>
    <row r="93" spans="1:21" x14ac:dyDescent="0.25">
      <c r="A93" s="73"/>
      <c r="B93" s="145">
        <v>1.0787037037037038E-2</v>
      </c>
      <c r="C93" s="211">
        <v>15.53</v>
      </c>
      <c r="D93" s="112">
        <v>64</v>
      </c>
      <c r="E93" s="73">
        <v>191</v>
      </c>
      <c r="F93" s="148">
        <f t="shared" si="16"/>
        <v>5.12</v>
      </c>
      <c r="G93" s="149">
        <f t="shared" si="15"/>
        <v>15.280000000000001</v>
      </c>
      <c r="H93" s="112">
        <f>ROUND(F93/$C93,2)</f>
        <v>0.33</v>
      </c>
      <c r="I93" s="113">
        <f>ROUND(G93/$C93,2)</f>
        <v>0.98</v>
      </c>
      <c r="J93" s="112">
        <f>ROUND(0.5*(H93*$C93*$C93)/(1-H93/70),2)</f>
        <v>39.979999999999997</v>
      </c>
      <c r="K93" s="149">
        <f>ROUND(0.5*(I93*$C93*$C93)/(1-I93/70),2)</f>
        <v>119.86</v>
      </c>
      <c r="L93" s="139">
        <f t="shared" si="17"/>
        <v>2.6640000000000001</v>
      </c>
      <c r="M93" s="229"/>
      <c r="O93" s="174">
        <f t="shared" ref="O93:O113" si="19">ROUND((J93/F93),2)</f>
        <v>7.81</v>
      </c>
      <c r="P93" s="174">
        <f t="shared" si="18"/>
        <v>7.84</v>
      </c>
    </row>
    <row r="94" spans="1:21" x14ac:dyDescent="0.25">
      <c r="A94" s="73"/>
      <c r="B94" s="145">
        <v>1.4583333333333334E-3</v>
      </c>
      <c r="C94" s="211">
        <v>2.1</v>
      </c>
      <c r="D94" s="112">
        <v>78</v>
      </c>
      <c r="E94" s="73"/>
      <c r="F94" s="148">
        <f t="shared" si="16"/>
        <v>6.24</v>
      </c>
      <c r="G94" s="149">
        <f t="shared" si="15"/>
        <v>0</v>
      </c>
      <c r="H94" s="112">
        <f>ROUND(F94/$C94,2)</f>
        <v>2.97</v>
      </c>
      <c r="I94" s="113">
        <f>ROUND(G94/$C94,2)</f>
        <v>0</v>
      </c>
      <c r="J94" s="112">
        <f>ROUND(0.5*(H94*$C94*$C94)/(1-H94/70),2)</f>
        <v>6.84</v>
      </c>
      <c r="K94" s="149">
        <f>ROUND(0.5*(I94*$C94*$C94)/(1-I94/70),2)</f>
        <v>0</v>
      </c>
      <c r="L94" s="139">
        <f t="shared" si="17"/>
        <v>0.114</v>
      </c>
      <c r="M94" s="229"/>
      <c r="O94" s="174">
        <f t="shared" si="19"/>
        <v>1.1000000000000001</v>
      </c>
      <c r="P94" s="174" t="s">
        <v>139</v>
      </c>
    </row>
    <row r="95" spans="1:21" x14ac:dyDescent="0.25">
      <c r="A95" s="73"/>
      <c r="B95" s="145">
        <v>3.6921296296296298E-3</v>
      </c>
      <c r="C95" s="211">
        <v>5.32</v>
      </c>
      <c r="D95" s="112">
        <v>862</v>
      </c>
      <c r="E95" s="73">
        <v>443</v>
      </c>
      <c r="F95" s="148">
        <f t="shared" si="16"/>
        <v>68.960000000000008</v>
      </c>
      <c r="G95" s="149">
        <f t="shared" si="15"/>
        <v>35.44</v>
      </c>
      <c r="H95" s="112">
        <f>ROUND(F95/$C95,2)</f>
        <v>12.96</v>
      </c>
      <c r="I95" s="113">
        <f>ROUND(G95/$C95,2)</f>
        <v>6.66</v>
      </c>
      <c r="J95" s="112">
        <f>ROUND(0.5*(H95*$C95*$C95)/(1-H95/70),2)</f>
        <v>225.07</v>
      </c>
      <c r="K95" s="149">
        <f>ROUND(0.5*(I95*$C95*$C95)/(1-I95/70),2)</f>
        <v>104.16</v>
      </c>
      <c r="L95" s="139">
        <f>ROUND((J95+K95)/60,4)</f>
        <v>5.4871999999999996</v>
      </c>
      <c r="M95" s="229"/>
      <c r="O95" s="174">
        <f t="shared" si="19"/>
        <v>3.26</v>
      </c>
      <c r="P95" s="174">
        <f t="shared" si="18"/>
        <v>2.94</v>
      </c>
    </row>
    <row r="96" spans="1:21" x14ac:dyDescent="0.25">
      <c r="A96" s="73"/>
      <c r="B96" s="145">
        <v>1.0543981481481481E-2</v>
      </c>
      <c r="C96" s="211">
        <v>15.18</v>
      </c>
      <c r="D96" s="112">
        <v>2868</v>
      </c>
      <c r="E96" s="160">
        <v>3000</v>
      </c>
      <c r="F96" s="148">
        <f t="shared" si="16"/>
        <v>229.44</v>
      </c>
      <c r="G96" s="163">
        <f t="shared" si="15"/>
        <v>240</v>
      </c>
      <c r="H96" s="112">
        <f>ROUND(F96/$C96,2)</f>
        <v>15.11</v>
      </c>
      <c r="I96" s="221">
        <f>ROUND(G96/$C96,2)</f>
        <v>15.81</v>
      </c>
      <c r="J96" s="112">
        <f>ROUND(0.5*(H96*$C96*$C96)/(1-H96/70),2)</f>
        <v>2220.15</v>
      </c>
      <c r="K96" s="226">
        <f>ROUND(0.5*(I96*$C96*$C96)/(1-I96/70),2)</f>
        <v>2353.0100000000002</v>
      </c>
      <c r="L96" s="168">
        <f t="shared" ref="L96:L103" si="20">ROUND((J96+K96)/60,4)</f>
        <v>76.219300000000004</v>
      </c>
      <c r="M96" s="229"/>
      <c r="O96" s="174">
        <f t="shared" si="19"/>
        <v>9.68</v>
      </c>
      <c r="P96" s="174">
        <f t="shared" si="18"/>
        <v>9.8000000000000007</v>
      </c>
    </row>
    <row r="97" spans="1:23" x14ac:dyDescent="0.25">
      <c r="A97" s="73"/>
      <c r="B97" s="145">
        <v>1.7824074074074072E-3</v>
      </c>
      <c r="C97" s="211">
        <v>2.57</v>
      </c>
      <c r="D97" s="112">
        <v>1105</v>
      </c>
      <c r="E97" s="73">
        <v>1764</v>
      </c>
      <c r="F97" s="148">
        <f t="shared" si="16"/>
        <v>88.4</v>
      </c>
      <c r="G97" s="149">
        <f t="shared" si="15"/>
        <v>141.12</v>
      </c>
      <c r="H97" s="112">
        <f>ROUND(F97/$C97,2)</f>
        <v>34.4</v>
      </c>
      <c r="I97" s="113">
        <f>ROUND(G97/$C97,2)</f>
        <v>54.91</v>
      </c>
      <c r="J97" s="112">
        <f>ROUND(0.5*(H97*$C97*$C97)/(1-H97/70),2)</f>
        <v>223.38</v>
      </c>
      <c r="K97" s="149">
        <f>ROUND(0.5*(I97*$C97*$C97)/(1-I97/70),2)</f>
        <v>841.19</v>
      </c>
      <c r="L97" s="139">
        <f t="shared" si="20"/>
        <v>17.742799999999999</v>
      </c>
      <c r="M97" s="229"/>
      <c r="O97" s="174">
        <f t="shared" si="19"/>
        <v>2.5299999999999998</v>
      </c>
      <c r="P97" s="174">
        <f t="shared" si="18"/>
        <v>5.96</v>
      </c>
    </row>
    <row r="98" spans="1:23" x14ac:dyDescent="0.25">
      <c r="A98" s="73"/>
      <c r="B98" s="145">
        <v>9.8379629629629642E-4</v>
      </c>
      <c r="C98" s="211">
        <v>1.42</v>
      </c>
      <c r="D98" s="112">
        <v>191</v>
      </c>
      <c r="E98" s="73">
        <v>108</v>
      </c>
      <c r="F98" s="148">
        <f t="shared" si="16"/>
        <v>15.280000000000001</v>
      </c>
      <c r="G98" s="149">
        <f t="shared" si="15"/>
        <v>8.64</v>
      </c>
      <c r="H98" s="112">
        <f>ROUND(F98/$C98,2)</f>
        <v>10.76</v>
      </c>
      <c r="I98" s="113">
        <f>ROUND(G98/$C98,2)</f>
        <v>6.08</v>
      </c>
      <c r="J98" s="112">
        <f>ROUND(0.5*(H98*$C98*$C98)/(1-H98/70),2)</f>
        <v>12.82</v>
      </c>
      <c r="K98" s="149">
        <f>ROUND(0.5*(I98*$C98*$C98)/(1-I98/70),2)</f>
        <v>6.71</v>
      </c>
      <c r="L98" s="139">
        <f t="shared" si="20"/>
        <v>0.32550000000000001</v>
      </c>
      <c r="M98" s="229"/>
      <c r="O98" s="174">
        <f t="shared" si="19"/>
        <v>0.84</v>
      </c>
      <c r="P98" s="174">
        <f t="shared" si="18"/>
        <v>0.78</v>
      </c>
    </row>
    <row r="99" spans="1:23" x14ac:dyDescent="0.25">
      <c r="A99" s="73"/>
      <c r="B99" s="145">
        <v>9.8379629629629642E-4</v>
      </c>
      <c r="C99" s="211">
        <v>1.42</v>
      </c>
      <c r="D99" s="112">
        <v>129</v>
      </c>
      <c r="E99" s="73">
        <v>98</v>
      </c>
      <c r="F99" s="148">
        <f t="shared" si="16"/>
        <v>10.32</v>
      </c>
      <c r="G99" s="149">
        <f t="shared" si="15"/>
        <v>7.84</v>
      </c>
      <c r="H99" s="112">
        <f>ROUND(F99/$C99,2)</f>
        <v>7.27</v>
      </c>
      <c r="I99" s="113">
        <f>ROUND(G99/$C99,2)</f>
        <v>5.52</v>
      </c>
      <c r="J99" s="112">
        <f>ROUND(0.5*(H99*$C99*$C99)/(1-H99/70),2)</f>
        <v>8.18</v>
      </c>
      <c r="K99" s="149">
        <f>ROUND(0.5*(I99*$C99*$C99)/(1-I99/70),2)</f>
        <v>6.04</v>
      </c>
      <c r="L99" s="139">
        <f t="shared" si="20"/>
        <v>0.23699999999999999</v>
      </c>
      <c r="M99" s="229"/>
      <c r="O99" s="174">
        <f t="shared" si="19"/>
        <v>0.79</v>
      </c>
      <c r="P99" s="174">
        <f t="shared" si="18"/>
        <v>0.77</v>
      </c>
    </row>
    <row r="100" spans="1:23" x14ac:dyDescent="0.25">
      <c r="A100" s="73"/>
      <c r="B100" s="145">
        <v>2.0370370370370373E-3</v>
      </c>
      <c r="C100" s="211">
        <v>2.93</v>
      </c>
      <c r="D100" s="112">
        <v>471</v>
      </c>
      <c r="E100" s="73">
        <v>247</v>
      </c>
      <c r="F100" s="148">
        <f t="shared" si="16"/>
        <v>37.68</v>
      </c>
      <c r="G100" s="149">
        <f t="shared" si="15"/>
        <v>19.760000000000002</v>
      </c>
      <c r="H100" s="112">
        <f>ROUND(F100/$C100,2)</f>
        <v>12.86</v>
      </c>
      <c r="I100" s="113">
        <f>ROUND(G100/$C100,2)</f>
        <v>6.74</v>
      </c>
      <c r="J100" s="112">
        <f>ROUND(0.5*(H100*$C100*$C100)/(1-H100/70),2)</f>
        <v>67.62</v>
      </c>
      <c r="K100" s="149">
        <f>ROUND(0.5*(I100*$C100*$C100)/(1-I100/70),2)</f>
        <v>32.01</v>
      </c>
      <c r="L100" s="139">
        <f t="shared" si="20"/>
        <v>1.6605000000000001</v>
      </c>
      <c r="M100" s="229"/>
      <c r="O100" s="174">
        <f t="shared" si="19"/>
        <v>1.79</v>
      </c>
      <c r="P100" s="174">
        <f t="shared" si="18"/>
        <v>1.62</v>
      </c>
    </row>
    <row r="101" spans="1:23" x14ac:dyDescent="0.25">
      <c r="A101" s="73"/>
      <c r="B101" s="145">
        <v>7.7546296296296304E-4</v>
      </c>
      <c r="C101" s="211">
        <v>1.1200000000000001</v>
      </c>
      <c r="D101" s="112">
        <v>284</v>
      </c>
      <c r="E101" s="73">
        <v>205</v>
      </c>
      <c r="F101" s="148">
        <f t="shared" si="16"/>
        <v>22.72</v>
      </c>
      <c r="G101" s="149">
        <f t="shared" si="15"/>
        <v>16.399999999999999</v>
      </c>
      <c r="H101" s="112">
        <f>ROUND(F101/$C101,2)</f>
        <v>20.29</v>
      </c>
      <c r="I101" s="113">
        <f>ROUND(G101/$C101,2)</f>
        <v>14.64</v>
      </c>
      <c r="J101" s="112">
        <f>ROUND(0.5*(H101*$C101*$C101)/(1-H101/70),2)</f>
        <v>17.920000000000002</v>
      </c>
      <c r="K101" s="149">
        <f>ROUND(0.5*(I101*$C101*$C101)/(1-I101/70),2)</f>
        <v>11.61</v>
      </c>
      <c r="L101" s="139">
        <f t="shared" si="20"/>
        <v>0.49220000000000003</v>
      </c>
      <c r="M101" s="229"/>
      <c r="O101" s="174">
        <f t="shared" si="19"/>
        <v>0.79</v>
      </c>
      <c r="P101" s="174">
        <f t="shared" si="18"/>
        <v>0.71</v>
      </c>
    </row>
    <row r="102" spans="1:23" x14ac:dyDescent="0.25">
      <c r="A102" s="73"/>
      <c r="B102" s="145">
        <v>1.2037037037037038E-3</v>
      </c>
      <c r="C102" s="211">
        <v>1.73</v>
      </c>
      <c r="D102" s="112">
        <v>457</v>
      </c>
      <c r="E102" s="73">
        <v>261</v>
      </c>
      <c r="F102" s="148">
        <f t="shared" si="16"/>
        <v>36.56</v>
      </c>
      <c r="G102" s="149">
        <f t="shared" si="15"/>
        <v>20.88</v>
      </c>
      <c r="H102" s="112">
        <f>ROUND(F102/$C102,2)</f>
        <v>21.13</v>
      </c>
      <c r="I102" s="113">
        <f>ROUND(G102/$C102,2)</f>
        <v>12.07</v>
      </c>
      <c r="J102" s="112">
        <f>ROUND(0.5*(H102*$C102*$C102)/(1-H102/70),2)</f>
        <v>45.29</v>
      </c>
      <c r="K102" s="149">
        <f>ROUND(0.5*(I102*$C102*$C102)/(1-I102/70),2)</f>
        <v>21.83</v>
      </c>
      <c r="L102" s="139">
        <f t="shared" si="20"/>
        <v>1.1187</v>
      </c>
      <c r="M102" s="229"/>
      <c r="O102" s="174">
        <f t="shared" si="19"/>
        <v>1.24</v>
      </c>
      <c r="P102" s="174">
        <f t="shared" si="18"/>
        <v>1.05</v>
      </c>
    </row>
    <row r="103" spans="1:23" x14ac:dyDescent="0.25">
      <c r="A103" s="73"/>
      <c r="B103" s="145">
        <v>9.5601851851851855E-3</v>
      </c>
      <c r="C103" s="211">
        <v>13.77</v>
      </c>
      <c r="D103" s="112">
        <v>1174</v>
      </c>
      <c r="E103" s="73">
        <v>2278</v>
      </c>
      <c r="F103" s="148">
        <f t="shared" si="16"/>
        <v>93.92</v>
      </c>
      <c r="G103" s="149">
        <f t="shared" si="15"/>
        <v>182.24</v>
      </c>
      <c r="H103" s="112">
        <f>ROUND(F103/$C103,2)</f>
        <v>6.82</v>
      </c>
      <c r="I103" s="113">
        <f>ROUND(G103/$C103,2)</f>
        <v>13.23</v>
      </c>
      <c r="J103" s="112">
        <f>ROUND(0.5*(H103*$C103*$C103)/(1-H103/70),2)</f>
        <v>716.38</v>
      </c>
      <c r="K103" s="149">
        <f>ROUND(0.5*(I103*$C103*$C103)/(1-I103/70),2)</f>
        <v>1546.6</v>
      </c>
      <c r="L103" s="139">
        <f t="shared" si="20"/>
        <v>37.716299999999997</v>
      </c>
      <c r="M103" s="229"/>
      <c r="O103" s="174">
        <f t="shared" si="19"/>
        <v>7.63</v>
      </c>
      <c r="P103" s="174">
        <f t="shared" si="18"/>
        <v>8.49</v>
      </c>
    </row>
    <row r="104" spans="1:23" x14ac:dyDescent="0.25">
      <c r="A104" s="73"/>
      <c r="B104" s="145">
        <v>1.712962962962963E-3</v>
      </c>
      <c r="C104" s="211">
        <v>2.4700000000000002</v>
      </c>
      <c r="D104" s="112">
        <v>525</v>
      </c>
      <c r="E104" s="73">
        <v>760</v>
      </c>
      <c r="F104" s="148">
        <f t="shared" si="16"/>
        <v>42</v>
      </c>
      <c r="G104" s="149">
        <f t="shared" si="15"/>
        <v>60.800000000000004</v>
      </c>
      <c r="H104" s="112">
        <f>ROUND(F104/$C104,2)</f>
        <v>17</v>
      </c>
      <c r="I104" s="113">
        <f>ROUND(G104/$C104,2)</f>
        <v>24.62</v>
      </c>
      <c r="J104" s="112">
        <f>ROUND(0.5*(H104*$C104*$C104)/(1-H104/70),2)</f>
        <v>68.489999999999995</v>
      </c>
      <c r="K104" s="149">
        <f>ROUND(0.5*(I104*$C104*$C104)/(1-I104/70),2)</f>
        <v>115.85</v>
      </c>
      <c r="L104" s="139">
        <f>ROUND((J104+K104)/60,4)</f>
        <v>3.0722999999999998</v>
      </c>
      <c r="M104" s="229"/>
      <c r="O104" s="174">
        <f t="shared" si="19"/>
        <v>1.63</v>
      </c>
      <c r="P104" s="174">
        <f t="shared" si="18"/>
        <v>1.91</v>
      </c>
    </row>
    <row r="105" spans="1:23" x14ac:dyDescent="0.25">
      <c r="A105" s="73"/>
      <c r="B105" s="145">
        <v>4.1898148148148146E-3</v>
      </c>
      <c r="C105" s="211">
        <v>6.03</v>
      </c>
      <c r="D105" s="112">
        <v>1083</v>
      </c>
      <c r="E105" s="73">
        <v>1560</v>
      </c>
      <c r="F105" s="148">
        <f t="shared" si="16"/>
        <v>86.64</v>
      </c>
      <c r="G105" s="149">
        <f t="shared" si="15"/>
        <v>124.8</v>
      </c>
      <c r="H105" s="112">
        <f>ROUND(F105/$C105,2)</f>
        <v>14.37</v>
      </c>
      <c r="I105" s="113">
        <f>ROUND(G105/$C105,2)</f>
        <v>20.7</v>
      </c>
      <c r="J105" s="112">
        <f>ROUND(0.5*(H105*$C105*$C105)/(1-H105/70),2)</f>
        <v>328.74</v>
      </c>
      <c r="K105" s="149">
        <f>ROUND(0.5*(I105*$C105*$C105)/(1-I105/70),2)</f>
        <v>534.35</v>
      </c>
      <c r="L105" s="139">
        <f t="shared" ref="L105:L113" si="21">ROUND((J105+K105)/60,4)</f>
        <v>14.3848</v>
      </c>
      <c r="M105" s="229"/>
      <c r="O105" s="174">
        <f t="shared" si="19"/>
        <v>3.79</v>
      </c>
      <c r="P105" s="174">
        <f t="shared" si="18"/>
        <v>4.28</v>
      </c>
    </row>
    <row r="106" spans="1:23" ht="15.75" thickBot="1" x14ac:dyDescent="0.3">
      <c r="A106" s="73"/>
      <c r="B106" s="145">
        <v>6.6666666666666671E-3</v>
      </c>
      <c r="C106" s="211">
        <v>9.6</v>
      </c>
      <c r="D106" s="112">
        <v>1289</v>
      </c>
      <c r="E106" s="73">
        <v>1393</v>
      </c>
      <c r="F106" s="148">
        <f t="shared" si="16"/>
        <v>103.12</v>
      </c>
      <c r="G106" s="149">
        <f t="shared" si="15"/>
        <v>111.44</v>
      </c>
      <c r="H106" s="112">
        <f>ROUND(F106/$C106,2)</f>
        <v>10.74</v>
      </c>
      <c r="I106" s="113">
        <f>ROUND(G106/$C106,2)</f>
        <v>11.61</v>
      </c>
      <c r="J106" s="112">
        <f>ROUND(0.5*(H106*$C106*$C106)/(1-H106/70),2)</f>
        <v>584.59</v>
      </c>
      <c r="K106" s="149">
        <f>ROUND(0.5*(I106*$C106*$C106)/(1-I106/70),2)</f>
        <v>641.36</v>
      </c>
      <c r="L106" s="139">
        <f t="shared" si="21"/>
        <v>20.432500000000001</v>
      </c>
      <c r="M106" s="229"/>
      <c r="O106" s="174">
        <f t="shared" si="19"/>
        <v>5.67</v>
      </c>
      <c r="P106" s="174">
        <f t="shared" si="18"/>
        <v>5.76</v>
      </c>
    </row>
    <row r="107" spans="1:23" x14ac:dyDescent="0.25">
      <c r="A107" s="73"/>
      <c r="B107" s="145">
        <v>9.1898148148148139E-3</v>
      </c>
      <c r="C107" s="211">
        <v>13.23</v>
      </c>
      <c r="D107" s="112">
        <v>1398</v>
      </c>
      <c r="E107" s="160">
        <v>3000</v>
      </c>
      <c r="F107" s="148">
        <f t="shared" si="16"/>
        <v>111.84</v>
      </c>
      <c r="G107" s="163">
        <f t="shared" si="15"/>
        <v>240</v>
      </c>
      <c r="H107" s="112">
        <f>ROUND(F107/$C107,2)</f>
        <v>8.4499999999999993</v>
      </c>
      <c r="I107" s="221">
        <f>ROUND(G107/$C107,2)</f>
        <v>18.14</v>
      </c>
      <c r="J107" s="112">
        <f>ROUND(0.5*(H107*$C107*$C107)/(1-H107/70),2)</f>
        <v>841.04</v>
      </c>
      <c r="K107" s="226">
        <f>ROUND(0.5*(I107*$C107*$C107)/(1-I107/70),2)</f>
        <v>2142.85</v>
      </c>
      <c r="L107" s="168">
        <f t="shared" si="21"/>
        <v>49.731499999999997</v>
      </c>
      <c r="M107" s="229"/>
      <c r="O107" s="174">
        <f t="shared" si="19"/>
        <v>7.52</v>
      </c>
      <c r="P107" s="174">
        <f t="shared" si="18"/>
        <v>8.93</v>
      </c>
      <c r="R107" s="110" t="s">
        <v>164</v>
      </c>
      <c r="S107" s="121"/>
      <c r="T107" s="121"/>
      <c r="U107" s="121"/>
      <c r="V107" s="121"/>
      <c r="W107" s="111"/>
    </row>
    <row r="108" spans="1:23" x14ac:dyDescent="0.25">
      <c r="A108" s="73"/>
      <c r="B108" s="145">
        <v>1.2152777777777778E-3</v>
      </c>
      <c r="C108" s="211">
        <v>1.75</v>
      </c>
      <c r="D108" s="112">
        <v>629</v>
      </c>
      <c r="E108" s="73">
        <v>446</v>
      </c>
      <c r="F108" s="148">
        <f t="shared" si="16"/>
        <v>50.32</v>
      </c>
      <c r="G108" s="149">
        <f t="shared" si="15"/>
        <v>35.68</v>
      </c>
      <c r="H108" s="112">
        <f>ROUND(F108/$C108,2)</f>
        <v>28.75</v>
      </c>
      <c r="I108" s="113">
        <f>ROUND(G108/$C108,2)</f>
        <v>20.39</v>
      </c>
      <c r="J108" s="112">
        <f>ROUND(0.5*(H108*$C108*$C108)/(1-H108/70),2)</f>
        <v>74.709999999999994</v>
      </c>
      <c r="K108" s="149">
        <f>ROUND(0.5*(I108*$C108*$C108)/(1-I108/70),2)</f>
        <v>44.05</v>
      </c>
      <c r="L108" s="139">
        <f t="shared" si="21"/>
        <v>1.9793000000000001</v>
      </c>
      <c r="M108" s="229"/>
      <c r="O108" s="174">
        <f t="shared" si="19"/>
        <v>1.48</v>
      </c>
      <c r="P108" s="174">
        <f t="shared" si="18"/>
        <v>1.23</v>
      </c>
      <c r="R108" s="112" t="s">
        <v>152</v>
      </c>
      <c r="S108" s="73">
        <f>COUNT(B91:B113)</f>
        <v>23</v>
      </c>
      <c r="T108" s="122"/>
      <c r="U108" s="122"/>
      <c r="V108" s="122"/>
      <c r="W108" s="115"/>
    </row>
    <row r="109" spans="1:23" x14ac:dyDescent="0.25">
      <c r="A109" s="73"/>
      <c r="B109" s="145">
        <v>3.8425925925925923E-3</v>
      </c>
      <c r="C109" s="211">
        <v>5.53</v>
      </c>
      <c r="D109" s="112">
        <v>1090</v>
      </c>
      <c r="E109" s="73">
        <v>1810</v>
      </c>
      <c r="F109" s="148">
        <f t="shared" si="16"/>
        <v>87.2</v>
      </c>
      <c r="G109" s="149">
        <f t="shared" si="15"/>
        <v>144.80000000000001</v>
      </c>
      <c r="H109" s="112">
        <f>ROUND(F109/$C109,2)</f>
        <v>15.77</v>
      </c>
      <c r="I109" s="113">
        <f>ROUND(G109/$C109,2)</f>
        <v>26.18</v>
      </c>
      <c r="J109" s="112">
        <f>ROUND(0.5*(H109*$C109*$C109)/(1-H109/70),2)</f>
        <v>311.25</v>
      </c>
      <c r="K109" s="149">
        <f>ROUND(0.5*(I109*$C109*$C109)/(1-I109/70),2)</f>
        <v>639.46</v>
      </c>
      <c r="L109" s="139">
        <f t="shared" si="21"/>
        <v>15.8452</v>
      </c>
      <c r="M109" s="229"/>
      <c r="O109" s="174">
        <f t="shared" si="19"/>
        <v>3.57</v>
      </c>
      <c r="P109" s="174">
        <f t="shared" si="18"/>
        <v>4.42</v>
      </c>
      <c r="R109" s="114"/>
      <c r="S109" s="122"/>
      <c r="T109" s="183" t="s">
        <v>156</v>
      </c>
      <c r="U109" s="183"/>
      <c r="V109" s="122"/>
      <c r="W109" s="115"/>
    </row>
    <row r="110" spans="1:23" ht="15.75" thickBot="1" x14ac:dyDescent="0.3">
      <c r="A110" s="73"/>
      <c r="B110" s="145">
        <v>5.4861111111111117E-3</v>
      </c>
      <c r="C110" s="211">
        <v>7.9</v>
      </c>
      <c r="D110" s="112">
        <v>1150</v>
      </c>
      <c r="E110" s="73">
        <v>1818</v>
      </c>
      <c r="F110" s="148">
        <f t="shared" si="16"/>
        <v>92</v>
      </c>
      <c r="G110" s="149">
        <f t="shared" si="15"/>
        <v>145.44</v>
      </c>
      <c r="H110" s="112">
        <f>ROUND(F110/$C110,2)</f>
        <v>11.65</v>
      </c>
      <c r="I110" s="113">
        <f>ROUND(G110/$C110,2)</f>
        <v>18.41</v>
      </c>
      <c r="J110" s="112">
        <f>ROUND(0.5*(H110*$C110*$C110)/(1-H110/70),2)</f>
        <v>436.12</v>
      </c>
      <c r="K110" s="149">
        <f>ROUND(0.5*(I110*$C110*$C110)/(1-I110/70),2)</f>
        <v>779.49</v>
      </c>
      <c r="L110" s="139">
        <f t="shared" si="21"/>
        <v>20.260200000000001</v>
      </c>
      <c r="M110" s="229"/>
      <c r="O110" s="174">
        <f t="shared" si="19"/>
        <v>4.74</v>
      </c>
      <c r="P110" s="174">
        <f t="shared" si="18"/>
        <v>5.36</v>
      </c>
      <c r="R110" s="114"/>
      <c r="S110" s="107" t="s">
        <v>150</v>
      </c>
      <c r="T110" s="107" t="s">
        <v>157</v>
      </c>
      <c r="U110" s="107" t="s">
        <v>158</v>
      </c>
      <c r="V110" s="122"/>
      <c r="W110" s="115"/>
    </row>
    <row r="111" spans="1:23" x14ac:dyDescent="0.25">
      <c r="A111" s="73"/>
      <c r="B111" s="145">
        <v>6.6319444444444446E-3</v>
      </c>
      <c r="C111" s="211">
        <v>9.5500000000000007</v>
      </c>
      <c r="D111" s="112">
        <v>973</v>
      </c>
      <c r="E111" s="73">
        <v>815</v>
      </c>
      <c r="F111" s="148">
        <f t="shared" si="16"/>
        <v>77.84</v>
      </c>
      <c r="G111" s="149">
        <f t="shared" si="15"/>
        <v>65.2</v>
      </c>
      <c r="H111" s="112">
        <f>ROUND(F111/$C111,2)</f>
        <v>8.15</v>
      </c>
      <c r="I111" s="113">
        <f>ROUND(G111/$C111,2)</f>
        <v>6.83</v>
      </c>
      <c r="J111" s="112">
        <f>ROUND(0.5*(H111*$C111*$C111)/(1-H111/70),2)</f>
        <v>420.62</v>
      </c>
      <c r="K111" s="149">
        <f>ROUND(0.5*(I111*$C111*$C111)/(1-I111/70),2)</f>
        <v>345.13</v>
      </c>
      <c r="L111" s="139">
        <f t="shared" si="21"/>
        <v>12.762499999999999</v>
      </c>
      <c r="M111" s="229"/>
      <c r="N111" s="242" t="s">
        <v>184</v>
      </c>
      <c r="O111" s="174">
        <f t="shared" si="19"/>
        <v>5.4</v>
      </c>
      <c r="P111" s="174">
        <f t="shared" si="18"/>
        <v>5.29</v>
      </c>
      <c r="R111" s="112" t="s">
        <v>153</v>
      </c>
      <c r="S111" s="109">
        <f>AVERAGE(B91:B113)</f>
        <v>4.1596215780998385E-3</v>
      </c>
      <c r="T111" s="73">
        <f>AVERAGE(D91:D113)</f>
        <v>788.61904761904759</v>
      </c>
      <c r="U111" s="73">
        <f>AVERAGE(E91:E113)</f>
        <v>980.38095238095241</v>
      </c>
      <c r="V111" s="122"/>
      <c r="W111" s="115"/>
    </row>
    <row r="112" spans="1:23" ht="15.75" thickBot="1" x14ac:dyDescent="0.3">
      <c r="A112" s="73"/>
      <c r="B112" s="145">
        <v>5.9722222222222225E-3</v>
      </c>
      <c r="C112" s="211">
        <v>8.6</v>
      </c>
      <c r="D112" s="112">
        <v>550</v>
      </c>
      <c r="E112" s="73">
        <v>212</v>
      </c>
      <c r="F112" s="148">
        <f t="shared" si="16"/>
        <v>44</v>
      </c>
      <c r="G112" s="149">
        <f t="shared" si="15"/>
        <v>16.96</v>
      </c>
      <c r="H112" s="112">
        <f>ROUND(F112/$C112,2)</f>
        <v>5.12</v>
      </c>
      <c r="I112" s="113">
        <f>ROUND(G112/$C112,2)</f>
        <v>1.97</v>
      </c>
      <c r="J112" s="112">
        <f>ROUND(0.5*(H112*$C112*$C112)/(1-H112/70),2)</f>
        <v>204.28</v>
      </c>
      <c r="K112" s="149">
        <f>ROUND(0.5*(I112*$C112*$C112)/(1-I112/70),2)</f>
        <v>74.959999999999994</v>
      </c>
      <c r="L112" s="139">
        <f t="shared" si="21"/>
        <v>4.6539999999999999</v>
      </c>
      <c r="M112" s="234" t="s">
        <v>164</v>
      </c>
      <c r="N112" s="243"/>
      <c r="O112" s="174">
        <f t="shared" si="19"/>
        <v>4.6399999999999997</v>
      </c>
      <c r="P112" s="174">
        <f t="shared" si="18"/>
        <v>4.42</v>
      </c>
      <c r="R112" s="112" t="s">
        <v>154</v>
      </c>
      <c r="S112" s="109">
        <f>MAX(B91:B113)</f>
        <v>1.0787037037037038E-2</v>
      </c>
      <c r="T112" s="73">
        <f>MAX(D91:D113)</f>
        <v>2868</v>
      </c>
      <c r="U112" s="160">
        <f>MAX(E91:E113)</f>
        <v>3000</v>
      </c>
      <c r="V112" s="161" t="s">
        <v>160</v>
      </c>
      <c r="W112" s="115"/>
    </row>
    <row r="113" spans="1:34" ht="15.75" thickBot="1" x14ac:dyDescent="0.3">
      <c r="A113" s="73"/>
      <c r="B113" s="145">
        <v>2.3379629629629631E-3</v>
      </c>
      <c r="C113" s="213">
        <v>3.37</v>
      </c>
      <c r="D113" s="112">
        <v>191</v>
      </c>
      <c r="E113" s="73">
        <v>92</v>
      </c>
      <c r="F113" s="148">
        <f t="shared" si="16"/>
        <v>15.280000000000001</v>
      </c>
      <c r="G113" s="149">
        <f t="shared" si="15"/>
        <v>7.36</v>
      </c>
      <c r="H113" s="118">
        <f>ROUND(F113/$C113,2)</f>
        <v>4.53</v>
      </c>
      <c r="I113" s="129">
        <f>ROUND(G113/$C113,2)</f>
        <v>2.1800000000000002</v>
      </c>
      <c r="J113" s="118">
        <f>ROUND(0.5*(H113*$C113*$C113)/(1-H113/70),2)</f>
        <v>27.5</v>
      </c>
      <c r="K113" s="152">
        <f>ROUND(0.5*(I113*$C113*$C113)/(1-I113/70),2)</f>
        <v>12.78</v>
      </c>
      <c r="L113" s="235">
        <f t="shared" si="21"/>
        <v>0.67130000000000001</v>
      </c>
      <c r="M113" s="240">
        <f>SUM(L91:L113)</f>
        <v>287.88589999999999</v>
      </c>
      <c r="N113" s="241">
        <f>AVERAGE(M36,M50,M72,M89,M113)</f>
        <v>161.88494</v>
      </c>
      <c r="O113" s="174">
        <f t="shared" si="19"/>
        <v>1.8</v>
      </c>
      <c r="P113" s="174">
        <f t="shared" si="18"/>
        <v>1.74</v>
      </c>
      <c r="R113" s="118" t="s">
        <v>155</v>
      </c>
      <c r="S113" s="123">
        <f>MIN(B91:B113)</f>
        <v>7.7546296296296304E-4</v>
      </c>
      <c r="T113" s="124">
        <f>MIN(D91:D113)</f>
        <v>64</v>
      </c>
      <c r="U113" s="124">
        <f>MIN(E91:E113)</f>
        <v>87</v>
      </c>
      <c r="V113" s="125"/>
      <c r="W113" s="126"/>
    </row>
    <row r="114" spans="1:34" ht="6.75" customHeight="1" x14ac:dyDescent="0.25">
      <c r="C114" s="187"/>
    </row>
    <row r="115" spans="1:34" x14ac:dyDescent="0.25">
      <c r="A115" s="108">
        <v>41776</v>
      </c>
      <c r="B115" s="109">
        <v>5.4398148148148144E-4</v>
      </c>
      <c r="C115" s="198"/>
    </row>
    <row r="116" spans="1:34" x14ac:dyDescent="0.25">
      <c r="A116" s="73" t="s">
        <v>165</v>
      </c>
      <c r="B116" s="109">
        <v>2.3148148148148151E-3</v>
      </c>
      <c r="C116" s="198"/>
    </row>
    <row r="117" spans="1:34" ht="15.75" thickBot="1" x14ac:dyDescent="0.3">
      <c r="A117" s="73"/>
      <c r="B117" s="109">
        <v>1.7928240740740741E-2</v>
      </c>
      <c r="C117" s="198"/>
      <c r="AB117" s="130" t="s">
        <v>139</v>
      </c>
    </row>
    <row r="118" spans="1:34" x14ac:dyDescent="0.25">
      <c r="A118" s="73"/>
      <c r="B118" s="109">
        <v>1.8518518518518517E-3</v>
      </c>
      <c r="C118" s="198"/>
      <c r="W118" s="177" t="s">
        <v>168</v>
      </c>
      <c r="X118" s="178"/>
      <c r="Y118" s="178"/>
      <c r="Z118" s="178"/>
      <c r="AA118" s="178"/>
      <c r="AB118" s="178"/>
      <c r="AC118" s="178"/>
      <c r="AD118" s="178"/>
      <c r="AE118" s="178"/>
      <c r="AF118" s="178"/>
      <c r="AG118" s="178"/>
      <c r="AH118" s="179"/>
    </row>
    <row r="119" spans="1:34" ht="15.75" thickBot="1" x14ac:dyDescent="0.3">
      <c r="A119" s="73"/>
      <c r="B119" s="109">
        <v>7.719907407407408E-3</v>
      </c>
      <c r="C119" s="198"/>
      <c r="W119" s="180"/>
      <c r="X119" s="181"/>
      <c r="Y119" s="181"/>
      <c r="Z119" s="181"/>
      <c r="AA119" s="181"/>
      <c r="AB119" s="181"/>
      <c r="AC119" s="181"/>
      <c r="AD119" s="181"/>
      <c r="AE119" s="181"/>
      <c r="AF119" s="181"/>
      <c r="AG119" s="181"/>
      <c r="AH119" s="182"/>
    </row>
    <row r="120" spans="1:34" x14ac:dyDescent="0.25">
      <c r="A120" s="73"/>
      <c r="B120" s="109">
        <v>3.37962962962963E-3</v>
      </c>
      <c r="C120" s="198"/>
      <c r="W120" s="131"/>
      <c r="X120" s="132" t="s">
        <v>151</v>
      </c>
      <c r="Y120" s="132" t="s">
        <v>159</v>
      </c>
      <c r="Z120" s="132" t="s">
        <v>161</v>
      </c>
      <c r="AA120" s="132" t="s">
        <v>162</v>
      </c>
      <c r="AB120" s="132" t="s">
        <v>163</v>
      </c>
      <c r="AC120" s="132" t="s">
        <v>164</v>
      </c>
      <c r="AD120" s="132" t="s">
        <v>165</v>
      </c>
      <c r="AE120" s="133" t="s">
        <v>153</v>
      </c>
      <c r="AF120" s="134" t="s">
        <v>166</v>
      </c>
      <c r="AG120" s="135" t="s">
        <v>154</v>
      </c>
      <c r="AH120" s="136" t="s">
        <v>155</v>
      </c>
    </row>
    <row r="121" spans="1:34" x14ac:dyDescent="0.25">
      <c r="A121" s="73"/>
      <c r="B121" s="109">
        <v>6.4814814814814813E-4</v>
      </c>
      <c r="C121" s="198"/>
      <c r="W121" s="137" t="s">
        <v>152</v>
      </c>
      <c r="X121" s="73">
        <f>S14</f>
        <v>16</v>
      </c>
      <c r="Y121" s="73">
        <f>S31</f>
        <v>13</v>
      </c>
      <c r="Z121" s="73">
        <f>S45</f>
        <v>13</v>
      </c>
      <c r="AA121" s="73">
        <f>S67</f>
        <v>21</v>
      </c>
      <c r="AB121" s="73">
        <f>S84</f>
        <v>16</v>
      </c>
      <c r="AC121" s="73">
        <f>S108</f>
        <v>23</v>
      </c>
      <c r="AD121" s="73">
        <f>$S$128</f>
        <v>19</v>
      </c>
      <c r="AE121" s="138">
        <f>AVERAGE(X121:AD121)</f>
        <v>17.285714285714285</v>
      </c>
      <c r="AF121" s="159">
        <f>AVERAGE(Y121:AC121)</f>
        <v>17.2</v>
      </c>
      <c r="AG121" s="164">
        <f>MAX(X121:AD121)</f>
        <v>23</v>
      </c>
      <c r="AH121" s="113">
        <f>MIN(X121:AD121)</f>
        <v>13</v>
      </c>
    </row>
    <row r="122" spans="1:34" x14ac:dyDescent="0.25">
      <c r="A122" s="73"/>
      <c r="B122" s="109">
        <v>1.4004629629629629E-3</v>
      </c>
      <c r="C122" s="198"/>
      <c r="W122" s="194" t="s">
        <v>150</v>
      </c>
      <c r="X122" s="195"/>
      <c r="Y122" s="195"/>
      <c r="Z122" s="195"/>
      <c r="AA122" s="195"/>
      <c r="AB122" s="195"/>
      <c r="AC122" s="195"/>
      <c r="AD122" s="195"/>
      <c r="AE122" s="196"/>
      <c r="AF122" s="141"/>
      <c r="AG122" s="122"/>
      <c r="AH122" s="115"/>
    </row>
    <row r="123" spans="1:34" x14ac:dyDescent="0.25">
      <c r="A123" s="73"/>
      <c r="B123" s="109">
        <v>1.4004629629629629E-3</v>
      </c>
      <c r="C123" s="198"/>
      <c r="W123" s="137" t="s">
        <v>153</v>
      </c>
      <c r="X123" s="109">
        <f>S17</f>
        <v>5.3682002314814816E-3</v>
      </c>
      <c r="Y123" s="109">
        <f>S34</f>
        <v>4.679487179487179E-3</v>
      </c>
      <c r="Z123" s="109">
        <f>S48</f>
        <v>5.0409544159544161E-3</v>
      </c>
      <c r="AA123" s="109">
        <f>S70</f>
        <v>2.9260361552028219E-3</v>
      </c>
      <c r="AB123" s="109">
        <f>S87</f>
        <v>5.0672743055555558E-3</v>
      </c>
      <c r="AC123" s="109">
        <f>S111</f>
        <v>4.1596215780998385E-3</v>
      </c>
      <c r="AD123" s="109">
        <f t="shared" ref="AD123:AD125" si="22">S131</f>
        <v>3.5678606237816764E-3</v>
      </c>
      <c r="AE123" s="142">
        <f>AVERAGE(X123:AD123)</f>
        <v>4.4013477842232817E-3</v>
      </c>
      <c r="AF123" s="143">
        <f t="shared" ref="AF123:AF125" si="23">AVERAGE(Y123:AC123)</f>
        <v>4.3746747268599622E-3</v>
      </c>
      <c r="AG123" s="144">
        <f t="shared" ref="AG123:AG133" si="24">MAX(X123:AD123)</f>
        <v>5.3682002314814816E-3</v>
      </c>
      <c r="AH123" s="117">
        <f t="shared" ref="AH123:AH133" si="25">MIN(X123:AD123)</f>
        <v>2.9260361552028219E-3</v>
      </c>
    </row>
    <row r="124" spans="1:34" x14ac:dyDescent="0.25">
      <c r="A124" s="73"/>
      <c r="B124" s="109">
        <v>9.6064814814814808E-4</v>
      </c>
      <c r="C124" s="198"/>
      <c r="W124" s="137" t="s">
        <v>154</v>
      </c>
      <c r="X124" s="109">
        <f>S18</f>
        <v>1.2175925925925929E-2</v>
      </c>
      <c r="Y124" s="109">
        <f>S35</f>
        <v>1.1724537037037035E-2</v>
      </c>
      <c r="Z124" s="109">
        <f>S49</f>
        <v>1.1273148148148148E-2</v>
      </c>
      <c r="AA124" s="109">
        <f>S71</f>
        <v>1.3125E-2</v>
      </c>
      <c r="AB124" s="109">
        <f>S88</f>
        <v>2.6030092592592594E-2</v>
      </c>
      <c r="AC124" s="109">
        <f>S112</f>
        <v>1.0787037037037038E-2</v>
      </c>
      <c r="AD124" s="109">
        <f t="shared" si="22"/>
        <v>1.7928240740740741E-2</v>
      </c>
      <c r="AE124" s="145">
        <f>AVERAGE(X124:AD124)</f>
        <v>1.4720568783068783E-2</v>
      </c>
      <c r="AF124" s="146">
        <f t="shared" si="23"/>
        <v>1.4587962962962964E-2</v>
      </c>
      <c r="AG124" s="165">
        <f t="shared" si="24"/>
        <v>2.6030092592592594E-2</v>
      </c>
      <c r="AH124" s="117">
        <f t="shared" si="25"/>
        <v>1.0787037037037038E-2</v>
      </c>
    </row>
    <row r="125" spans="1:34" x14ac:dyDescent="0.25">
      <c r="A125" s="73"/>
      <c r="B125" s="109">
        <v>6.2268518518518515E-3</v>
      </c>
      <c r="C125" s="198"/>
      <c r="W125" s="137" t="s">
        <v>155</v>
      </c>
      <c r="X125" s="109">
        <f>S19</f>
        <v>6.018518518518519E-4</v>
      </c>
      <c r="Y125" s="109">
        <f>S36</f>
        <v>6.8287037037037025E-4</v>
      </c>
      <c r="Z125" s="109">
        <f>S50</f>
        <v>8.3333333333333339E-4</v>
      </c>
      <c r="AA125" s="109">
        <f>S72</f>
        <v>5.6712962962962956E-4</v>
      </c>
      <c r="AB125" s="109">
        <f>S89</f>
        <v>5.3240740740740744E-4</v>
      </c>
      <c r="AC125" s="109">
        <f>S113</f>
        <v>7.7546296296296304E-4</v>
      </c>
      <c r="AD125" s="109">
        <f t="shared" si="22"/>
        <v>3.7037037037037035E-4</v>
      </c>
      <c r="AE125" s="145">
        <f>AVERAGE(X125:AD125)</f>
        <v>6.2334656084656102E-4</v>
      </c>
      <c r="AF125" s="146">
        <f t="shared" si="23"/>
        <v>6.7824074074074076E-4</v>
      </c>
      <c r="AG125" s="144">
        <f t="shared" si="24"/>
        <v>8.3333333333333339E-4</v>
      </c>
      <c r="AH125" s="117">
        <f t="shared" si="25"/>
        <v>3.7037037037037035E-4</v>
      </c>
    </row>
    <row r="126" spans="1:34" ht="15.75" thickBot="1" x14ac:dyDescent="0.3">
      <c r="A126" s="73"/>
      <c r="B126" s="109">
        <v>1.1805555555555556E-3</v>
      </c>
      <c r="C126" s="198"/>
      <c r="W126" s="191" t="s">
        <v>180</v>
      </c>
      <c r="X126" s="192"/>
      <c r="Y126" s="192"/>
      <c r="Z126" s="192"/>
      <c r="AA126" s="192"/>
      <c r="AB126" s="192"/>
      <c r="AC126" s="192"/>
      <c r="AD126" s="192"/>
      <c r="AE126" s="193"/>
      <c r="AF126" s="141"/>
      <c r="AG126" s="122"/>
      <c r="AH126" s="115"/>
    </row>
    <row r="127" spans="1:34" x14ac:dyDescent="0.25">
      <c r="A127" s="73"/>
      <c r="B127" s="109">
        <v>2.8935185185185188E-3</v>
      </c>
      <c r="C127" s="198"/>
      <c r="R127" s="110" t="s">
        <v>165</v>
      </c>
      <c r="S127" s="111"/>
      <c r="W127" s="112" t="s">
        <v>153</v>
      </c>
      <c r="X127" s="147"/>
      <c r="Y127" s="73">
        <f>T34</f>
        <v>1053.2</v>
      </c>
      <c r="Z127" s="73">
        <f>T48</f>
        <v>962.9</v>
      </c>
      <c r="AA127" s="73">
        <f>T70</f>
        <v>531.17647058823525</v>
      </c>
      <c r="AB127" s="73">
        <f>T87</f>
        <v>621.86666666666667</v>
      </c>
      <c r="AC127" s="73">
        <f>T111</f>
        <v>788.61904761904759</v>
      </c>
      <c r="AD127" s="147"/>
      <c r="AE127" s="138">
        <f>AVERAGE(X127:AD127)</f>
        <v>791.55243697478988</v>
      </c>
      <c r="AF127" s="139">
        <f t="shared" ref="AF127:AF129" si="26">AVERAGE(Y127:AC127)</f>
        <v>791.55243697478988</v>
      </c>
      <c r="AG127" s="148">
        <f t="shared" si="24"/>
        <v>1053.2</v>
      </c>
      <c r="AH127" s="113">
        <f t="shared" si="25"/>
        <v>531.17647058823525</v>
      </c>
    </row>
    <row r="128" spans="1:34" x14ac:dyDescent="0.25">
      <c r="A128" s="73"/>
      <c r="B128" s="109">
        <v>1.3888888888888889E-3</v>
      </c>
      <c r="C128" s="198"/>
      <c r="R128" s="112" t="s">
        <v>152</v>
      </c>
      <c r="S128" s="113">
        <f>COUNT(B115:B133)</f>
        <v>19</v>
      </c>
      <c r="W128" s="112" t="s">
        <v>154</v>
      </c>
      <c r="X128" s="147"/>
      <c r="Y128" s="73">
        <f>T35</f>
        <v>3171</v>
      </c>
      <c r="Z128" s="73">
        <f>T49</f>
        <v>3079</v>
      </c>
      <c r="AA128" s="73">
        <f>T71</f>
        <v>1372</v>
      </c>
      <c r="AB128" s="73">
        <f>T88</f>
        <v>1345</v>
      </c>
      <c r="AC128" s="73">
        <f>T112</f>
        <v>2868</v>
      </c>
      <c r="AD128" s="147"/>
      <c r="AE128" s="149">
        <f>AVERAGE(X128:AD128)</f>
        <v>2367</v>
      </c>
      <c r="AF128" s="150">
        <f t="shared" si="26"/>
        <v>2367</v>
      </c>
      <c r="AG128" s="164">
        <f t="shared" si="24"/>
        <v>3171</v>
      </c>
      <c r="AH128" s="113">
        <f t="shared" si="25"/>
        <v>1345</v>
      </c>
    </row>
    <row r="129" spans="1:34" x14ac:dyDescent="0.25">
      <c r="A129" s="73"/>
      <c r="B129" s="109">
        <v>3.7037037037037035E-4</v>
      </c>
      <c r="C129" s="198"/>
      <c r="R129" s="114"/>
      <c r="S129" s="115"/>
      <c r="W129" s="112" t="s">
        <v>155</v>
      </c>
      <c r="X129" s="147" t="s">
        <v>167</v>
      </c>
      <c r="Y129" s="73">
        <f>T36</f>
        <v>107</v>
      </c>
      <c r="Z129" s="73">
        <f>T50</f>
        <v>188</v>
      </c>
      <c r="AA129" s="73">
        <f>T72</f>
        <v>32</v>
      </c>
      <c r="AB129" s="73">
        <f>T89</f>
        <v>50</v>
      </c>
      <c r="AC129" s="73">
        <f>T113</f>
        <v>64</v>
      </c>
      <c r="AD129" s="147" t="s">
        <v>167</v>
      </c>
      <c r="AE129" s="149">
        <f>AVERAGE(X129:AD129)</f>
        <v>88.2</v>
      </c>
      <c r="AF129" s="150">
        <f t="shared" si="26"/>
        <v>88.2</v>
      </c>
      <c r="AG129" s="148">
        <f t="shared" si="24"/>
        <v>188</v>
      </c>
      <c r="AH129" s="113">
        <f t="shared" si="25"/>
        <v>32</v>
      </c>
    </row>
    <row r="130" spans="1:34" x14ac:dyDescent="0.25">
      <c r="A130" s="73"/>
      <c r="B130" s="109">
        <v>3.9814814814814817E-3</v>
      </c>
      <c r="C130" s="198"/>
      <c r="R130" s="114"/>
      <c r="S130" s="116" t="s">
        <v>150</v>
      </c>
      <c r="W130" s="191" t="s">
        <v>181</v>
      </c>
      <c r="X130" s="192" t="s">
        <v>139</v>
      </c>
      <c r="Y130" s="192"/>
      <c r="Z130" s="192"/>
      <c r="AA130" s="192"/>
      <c r="AB130" s="192"/>
      <c r="AC130" s="192"/>
      <c r="AD130" s="192"/>
      <c r="AE130" s="193"/>
      <c r="AF130" s="141"/>
      <c r="AG130" s="122"/>
      <c r="AH130" s="115"/>
    </row>
    <row r="131" spans="1:34" x14ac:dyDescent="0.25">
      <c r="A131" s="73"/>
      <c r="B131" s="109">
        <v>3.7152777777777774E-3</v>
      </c>
      <c r="C131" s="198"/>
      <c r="R131" s="112" t="s">
        <v>153</v>
      </c>
      <c r="S131" s="117">
        <f>AVERAGE(B115:B133)</f>
        <v>3.5678606237816764E-3</v>
      </c>
      <c r="W131" s="112" t="s">
        <v>153</v>
      </c>
      <c r="X131" s="147"/>
      <c r="Y131" s="169">
        <f>U34</f>
        <v>898.8</v>
      </c>
      <c r="Z131" s="169">
        <f>U48</f>
        <v>774.09090909090912</v>
      </c>
      <c r="AA131" s="73">
        <f>U70</f>
        <v>681.42857142857144</v>
      </c>
      <c r="AB131" s="73">
        <f>U87</f>
        <v>746.93333333333328</v>
      </c>
      <c r="AC131" s="169">
        <f>U111</f>
        <v>980.38095238095241</v>
      </c>
      <c r="AD131" s="147"/>
      <c r="AE131" s="167">
        <f>AVERAGE(X131:AD131)</f>
        <v>816.32675324675324</v>
      </c>
      <c r="AF131" s="168">
        <f t="shared" ref="AF131:AF133" si="27">AVERAGE(Y131:AC131)</f>
        <v>816.32675324675324</v>
      </c>
      <c r="AG131" s="140">
        <f t="shared" si="24"/>
        <v>980.38095238095241</v>
      </c>
      <c r="AH131" s="113">
        <f t="shared" si="25"/>
        <v>681.42857142857144</v>
      </c>
    </row>
    <row r="132" spans="1:34" x14ac:dyDescent="0.25">
      <c r="A132" s="73"/>
      <c r="B132" s="109">
        <v>2.4421296296296296E-3</v>
      </c>
      <c r="C132" s="198"/>
      <c r="R132" s="112" t="s">
        <v>154</v>
      </c>
      <c r="S132" s="117">
        <f>MAX(B115:B133)</f>
        <v>1.7928240740740741E-2</v>
      </c>
      <c r="W132" s="112" t="s">
        <v>154</v>
      </c>
      <c r="X132" s="147"/>
      <c r="Y132" s="160">
        <f>U35</f>
        <v>3000</v>
      </c>
      <c r="Z132" s="160">
        <f>U49</f>
        <v>3000</v>
      </c>
      <c r="AA132" s="73">
        <f>U71</f>
        <v>1593</v>
      </c>
      <c r="AB132" s="73">
        <f>U88</f>
        <v>1712</v>
      </c>
      <c r="AC132" s="160">
        <f>U112</f>
        <v>3000</v>
      </c>
      <c r="AD132" s="147"/>
      <c r="AE132" s="163">
        <f>AVERAGE(X132:AD132)</f>
        <v>2461</v>
      </c>
      <c r="AF132" s="162">
        <f t="shared" si="27"/>
        <v>2461</v>
      </c>
      <c r="AG132" s="166">
        <f t="shared" si="24"/>
        <v>3000</v>
      </c>
      <c r="AH132" s="113">
        <f t="shared" si="25"/>
        <v>1593</v>
      </c>
    </row>
    <row r="133" spans="1:34" ht="15.75" thickBot="1" x14ac:dyDescent="0.3">
      <c r="A133" s="73"/>
      <c r="B133" s="109">
        <v>7.4421296296296293E-3</v>
      </c>
      <c r="C133" s="198"/>
      <c r="R133" s="118" t="s">
        <v>155</v>
      </c>
      <c r="S133" s="119">
        <f>MIN(B115:B133)</f>
        <v>3.7037037037037035E-4</v>
      </c>
      <c r="W133" s="118" t="s">
        <v>155</v>
      </c>
      <c r="X133" s="151" t="s">
        <v>167</v>
      </c>
      <c r="Y133" s="124">
        <f>U36</f>
        <v>42</v>
      </c>
      <c r="Z133" s="124">
        <f>U50</f>
        <v>48</v>
      </c>
      <c r="AA133" s="124">
        <f>U72</f>
        <v>70</v>
      </c>
      <c r="AB133" s="124">
        <f>U89</f>
        <v>120</v>
      </c>
      <c r="AC133" s="124">
        <f>U113</f>
        <v>87</v>
      </c>
      <c r="AD133" s="151" t="s">
        <v>167</v>
      </c>
      <c r="AE133" s="152">
        <f>AVERAGE(X133:AD133)</f>
        <v>73.400000000000006</v>
      </c>
      <c r="AF133" s="153">
        <f t="shared" si="27"/>
        <v>73.400000000000006</v>
      </c>
      <c r="AG133" s="154">
        <f t="shared" si="24"/>
        <v>120</v>
      </c>
      <c r="AH133" s="129">
        <f t="shared" si="25"/>
        <v>42</v>
      </c>
    </row>
  </sheetData>
  <mergeCells count="19">
    <mergeCell ref="W126:AE126"/>
    <mergeCell ref="W130:AE130"/>
    <mergeCell ref="W122:AE122"/>
    <mergeCell ref="D21:E22"/>
    <mergeCell ref="F21:G22"/>
    <mergeCell ref="N111:N112"/>
    <mergeCell ref="O21:P21"/>
    <mergeCell ref="O22:P22"/>
    <mergeCell ref="H21:I21"/>
    <mergeCell ref="J22:L22"/>
    <mergeCell ref="J21:L21"/>
    <mergeCell ref="W118:AH119"/>
    <mergeCell ref="T32:U32"/>
    <mergeCell ref="T46:U46"/>
    <mergeCell ref="T68:U68"/>
    <mergeCell ref="T85:U85"/>
    <mergeCell ref="T109:U109"/>
    <mergeCell ref="C22:C23"/>
    <mergeCell ref="H22:I22"/>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C23"/>
  <sheetViews>
    <sheetView zoomScaleNormal="100" workbookViewId="0">
      <selection activeCell="B14" sqref="B14"/>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4" t="s">
        <v>124</v>
      </c>
    </row>
    <row r="4" spans="2:3" x14ac:dyDescent="0.25">
      <c r="B4" s="4" t="s">
        <v>34</v>
      </c>
    </row>
    <row r="5" spans="2:3" x14ac:dyDescent="0.25">
      <c r="B5" s="46" t="s">
        <v>37</v>
      </c>
      <c r="C5" s="52">
        <v>2015</v>
      </c>
    </row>
    <row r="6" spans="2:3" x14ac:dyDescent="0.25">
      <c r="B6" s="46" t="s">
        <v>38</v>
      </c>
      <c r="C6" s="71" t="s">
        <v>92</v>
      </c>
    </row>
    <row r="7" spans="2:3" x14ac:dyDescent="0.25">
      <c r="B7" s="46" t="s">
        <v>126</v>
      </c>
      <c r="C7" s="53" t="s">
        <v>45</v>
      </c>
    </row>
    <row r="8" spans="2:3" x14ac:dyDescent="0.25">
      <c r="B8" s="46" t="s">
        <v>125</v>
      </c>
      <c r="C8" s="70">
        <f>'GDP Deflators'!P5-1</f>
        <v>2.0832073567924381E-2</v>
      </c>
    </row>
    <row r="9" spans="2:3" x14ac:dyDescent="0.25">
      <c r="B9" s="36"/>
      <c r="C9" s="37"/>
    </row>
    <row r="10" spans="2:3" x14ac:dyDescent="0.25">
      <c r="B10" s="38" t="s">
        <v>93</v>
      </c>
      <c r="C10" s="37"/>
    </row>
    <row r="11" spans="2:3" x14ac:dyDescent="0.25">
      <c r="B11" s="46" t="s">
        <v>94</v>
      </c>
      <c r="C11" s="76">
        <f>'Value of Statistical Life'!F10</f>
        <v>9587302.7263098899</v>
      </c>
    </row>
    <row r="12" spans="2:3" x14ac:dyDescent="0.25">
      <c r="B12" s="185" t="s">
        <v>112</v>
      </c>
      <c r="C12" s="186"/>
    </row>
    <row r="14" spans="2:3" x14ac:dyDescent="0.25">
      <c r="B14" s="38" t="s">
        <v>35</v>
      </c>
      <c r="C14" s="37"/>
    </row>
    <row r="15" spans="2:3" x14ac:dyDescent="0.25">
      <c r="B15" s="46" t="s">
        <v>84</v>
      </c>
      <c r="C15" s="51">
        <f>'Value of Travel Time'!D21</f>
        <v>16.100000000000001</v>
      </c>
    </row>
    <row r="16" spans="2:3" x14ac:dyDescent="0.25">
      <c r="B16" s="80" t="s">
        <v>122</v>
      </c>
      <c r="C16" s="81">
        <v>1.2E-2</v>
      </c>
    </row>
    <row r="18" spans="2:3" x14ac:dyDescent="0.25">
      <c r="B18" s="38" t="s">
        <v>36</v>
      </c>
    </row>
    <row r="19" spans="2:3" x14ac:dyDescent="0.25">
      <c r="B19" s="48" t="s">
        <v>86</v>
      </c>
      <c r="C19" s="49">
        <f>'Value of Emissions'!D4</f>
        <v>2083.1541467275511</v>
      </c>
    </row>
    <row r="20" spans="2:3" x14ac:dyDescent="0.25">
      <c r="B20" s="48" t="s">
        <v>87</v>
      </c>
      <c r="C20" s="49">
        <f>'Value of Emissions'!D5</f>
        <v>8208.6069103416321</v>
      </c>
    </row>
    <row r="21" spans="2:3" x14ac:dyDescent="0.25">
      <c r="B21" s="46" t="s">
        <v>49</v>
      </c>
      <c r="C21" s="50">
        <f>(0.267383+0.37942)/2</f>
        <v>0.32340150000000001</v>
      </c>
    </row>
    <row r="22" spans="2:3" x14ac:dyDescent="0.25">
      <c r="B22" s="46" t="s">
        <v>50</v>
      </c>
      <c r="C22" s="50">
        <f>(0.183428+0.198698)/2</f>
        <v>0.19106300000000001</v>
      </c>
    </row>
    <row r="23" spans="2:3" ht="63.75" x14ac:dyDescent="0.25">
      <c r="B23" s="46" t="s">
        <v>46</v>
      </c>
      <c r="C23" s="47" t="s">
        <v>47</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21"/>
  <sheetViews>
    <sheetView zoomScale="85" zoomScaleNormal="85" workbookViewId="0">
      <selection activeCell="D19" sqref="D19"/>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5" t="s">
        <v>74</v>
      </c>
    </row>
    <row r="3" spans="2:8" x14ac:dyDescent="0.25">
      <c r="B3" s="5"/>
    </row>
    <row r="4" spans="2:8" x14ac:dyDescent="0.25">
      <c r="B4" t="s">
        <v>0</v>
      </c>
      <c r="C4" t="s">
        <v>1</v>
      </c>
      <c r="D4" s="1">
        <v>2792941</v>
      </c>
      <c r="E4" s="3">
        <f>D4/D$12</f>
        <v>0.13018346701231348</v>
      </c>
      <c r="G4" t="s">
        <v>2</v>
      </c>
      <c r="H4" s="3">
        <f>SUMIF($C$4:$C$11,G4,$E$4:$E$11)</f>
        <v>0.74413612006105756</v>
      </c>
    </row>
    <row r="5" spans="2:8" x14ac:dyDescent="0.25">
      <c r="B5" t="s">
        <v>0</v>
      </c>
      <c r="C5" t="s">
        <v>2</v>
      </c>
      <c r="D5" s="1">
        <v>10901839</v>
      </c>
      <c r="E5" s="3">
        <f t="shared" ref="E5:E12" si="0">D5/D$12</f>
        <v>0.50815223015096012</v>
      </c>
      <c r="G5" t="s">
        <v>1</v>
      </c>
      <c r="H5" s="3">
        <f>SUMIF($C$4:$C$11,G5,$E$4:$E$11)</f>
        <v>0.21933837248304314</v>
      </c>
    </row>
    <row r="6" spans="2:8" x14ac:dyDescent="0.25">
      <c r="B6" t="s">
        <v>3</v>
      </c>
      <c r="C6" t="s">
        <v>1</v>
      </c>
      <c r="D6" s="1">
        <v>1856330</v>
      </c>
      <c r="E6" s="3">
        <f t="shared" si="0"/>
        <v>8.6526523588922169E-2</v>
      </c>
      <c r="G6" t="s">
        <v>4</v>
      </c>
      <c r="H6" s="3">
        <f>SUMIF($C$4:$C$11,G6,$E$4:$E$11)</f>
        <v>3.6525507455899359E-2</v>
      </c>
    </row>
    <row r="7" spans="2:8" x14ac:dyDescent="0.25">
      <c r="B7" t="s">
        <v>3</v>
      </c>
      <c r="C7" t="s">
        <v>2</v>
      </c>
      <c r="D7" s="1">
        <v>4856431</v>
      </c>
      <c r="E7" s="3">
        <f t="shared" si="0"/>
        <v>0.22636605101435245</v>
      </c>
      <c r="H7" s="3">
        <f>SUM(H4:H6)</f>
        <v>1</v>
      </c>
    </row>
    <row r="8" spans="2:8" x14ac:dyDescent="0.25">
      <c r="B8" t="s">
        <v>75</v>
      </c>
      <c r="C8" t="s">
        <v>4</v>
      </c>
      <c r="D8" s="1">
        <v>101057</v>
      </c>
      <c r="E8" s="3">
        <f t="shared" si="0"/>
        <v>4.7104291232300871E-3</v>
      </c>
    </row>
    <row r="9" spans="2:8" x14ac:dyDescent="0.25">
      <c r="B9" t="s">
        <v>76</v>
      </c>
      <c r="C9" t="s">
        <v>4</v>
      </c>
      <c r="D9" s="1">
        <v>682557</v>
      </c>
      <c r="E9" s="3">
        <f t="shared" si="0"/>
        <v>3.1815078332669271E-2</v>
      </c>
    </row>
    <row r="10" spans="2:8" x14ac:dyDescent="0.25">
      <c r="B10" t="s">
        <v>5</v>
      </c>
      <c r="C10" t="s">
        <v>1</v>
      </c>
      <c r="D10" s="1">
        <v>56389</v>
      </c>
      <c r="E10" s="3">
        <f t="shared" si="0"/>
        <v>2.6283818818075085E-3</v>
      </c>
    </row>
    <row r="11" spans="2:8" x14ac:dyDescent="0.25">
      <c r="B11" t="s">
        <v>6</v>
      </c>
      <c r="C11" t="s">
        <v>2</v>
      </c>
      <c r="D11" s="1">
        <v>206340</v>
      </c>
      <c r="E11" s="3">
        <f t="shared" si="0"/>
        <v>9.6178388957449384E-3</v>
      </c>
    </row>
    <row r="12" spans="2:8" x14ac:dyDescent="0.25">
      <c r="D12" s="2">
        <f>SUM(D4:D11)</f>
        <v>21453884</v>
      </c>
      <c r="E12" s="3">
        <f t="shared" si="0"/>
        <v>1</v>
      </c>
    </row>
    <row r="15" spans="2:8" x14ac:dyDescent="0.25">
      <c r="B15" s="5" t="s">
        <v>127</v>
      </c>
    </row>
    <row r="17" spans="2:4" x14ac:dyDescent="0.25">
      <c r="C17" s="8" t="s">
        <v>66</v>
      </c>
      <c r="D17" s="8" t="s">
        <v>83</v>
      </c>
    </row>
    <row r="18" spans="2:4" x14ac:dyDescent="0.25">
      <c r="B18" s="6" t="s">
        <v>7</v>
      </c>
      <c r="C18" s="7">
        <v>12.42</v>
      </c>
      <c r="D18" s="54">
        <f>C18*(1+'Assumed Values'!$C$16)^(2015-2013)</f>
        <v>12.719868479999999</v>
      </c>
    </row>
    <row r="19" spans="2:4" x14ac:dyDescent="0.25">
      <c r="B19" s="6" t="s">
        <v>8</v>
      </c>
      <c r="C19" s="7">
        <v>25.23</v>
      </c>
      <c r="D19" s="54">
        <f>C19*(1+'Assumed Values'!$C$16)^(2015-2013)</f>
        <v>25.839153119999999</v>
      </c>
    </row>
    <row r="20" spans="2:4" x14ac:dyDescent="0.25">
      <c r="B20" s="6" t="s">
        <v>4</v>
      </c>
      <c r="C20" s="7">
        <v>25.75</v>
      </c>
      <c r="D20" s="54">
        <f>C20*(1+'Assumed Values'!$C$16)^(2015-2013)</f>
        <v>26.371707999999998</v>
      </c>
    </row>
    <row r="21" spans="2:4" x14ac:dyDescent="0.25">
      <c r="B21" s="9" t="s">
        <v>9</v>
      </c>
      <c r="C21" s="10">
        <f>ROUND(SUMPRODUCT(C18:C20,H4:H6),2)</f>
        <v>15.72</v>
      </c>
      <c r="D21" s="10">
        <f>ROUND(SUMPRODUCT(D18:D20,H4:H6),2)</f>
        <v>16.100000000000001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24</vt:i4>
      </vt:variant>
    </vt:vector>
  </HeadingPairs>
  <TitlesOfParts>
    <vt:vector size="36" baseType="lpstr">
      <vt:lpstr>Instructions</vt:lpstr>
      <vt:lpstr>ITS Delay Worksheet</vt:lpstr>
      <vt:lpstr>Emissions Reduction Worksheet</vt:lpstr>
      <vt:lpstr>Inputs &amp; Outputs</vt:lpstr>
      <vt:lpstr>Calculations</vt:lpstr>
      <vt:lpstr>Direct Delay Calcs</vt:lpstr>
      <vt:lpstr>Gate Arm Observations</vt:lpstr>
      <vt:lpstr>Assumed Values</vt:lpstr>
      <vt:lpstr>Value of Travel Time</vt:lpstr>
      <vt:lpstr>Value of Statistical Life</vt:lpstr>
      <vt:lpstr>Value of Emissions</vt:lpstr>
      <vt:lpstr>GDP Deflators</vt:lpstr>
      <vt:lpstr>_2018_Capacity</vt:lpstr>
      <vt:lpstr>_2018_Volume</vt:lpstr>
      <vt:lpstr>_2025_Capacity</vt:lpstr>
      <vt:lpstr>_2025_Volume</vt:lpstr>
      <vt:lpstr>_2040_Capacity</vt:lpstr>
      <vt:lpstr>_2040_Volume</vt:lpstr>
      <vt:lpstr>Annual_Days_of_Travel</vt:lpstr>
      <vt:lpstr>Application_ID_Number</vt:lpstr>
      <vt:lpstr>Base_Year</vt:lpstr>
      <vt:lpstr>Name</vt:lpstr>
      <vt:lpstr>'Assumed Values'!Print_Area</vt:lpstr>
      <vt:lpstr>Calculations!Print_Area</vt:lpstr>
      <vt:lpstr>'Direct Delay Calcs'!Print_Area</vt:lpstr>
      <vt:lpstr>'Emissions Reduction Worksheet'!Print_Area</vt:lpstr>
      <vt:lpstr>'Gate Arm Observations'!Print_Area</vt:lpstr>
      <vt:lpstr>'Inputs &amp; Outputs'!Print_Area</vt:lpstr>
      <vt:lpstr>Instructions!Print_Area</vt:lpstr>
      <vt:lpstr>'ITS Delay Worksheet'!Print_Area</vt:lpstr>
      <vt:lpstr>Real_wage_growth_rate</vt:lpstr>
      <vt:lpstr>Sponsor_ID_Number__CSJ__etc.</vt:lpstr>
      <vt:lpstr>Value_of_Travel_Time__VoTT___2015</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AdminITC</cp:lastModifiedBy>
  <cp:lastPrinted>2014-12-16T16:18:14Z</cp:lastPrinted>
  <dcterms:created xsi:type="dcterms:W3CDTF">2012-07-25T15:48:32Z</dcterms:created>
  <dcterms:modified xsi:type="dcterms:W3CDTF">2014-12-17T19:12:29Z</dcterms:modified>
</cp:coreProperties>
</file>