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45" yWindow="-90" windowWidth="15645" windowHeight="7920" tabRatio="76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45621"/>
</workbook>
</file>

<file path=xl/calcChain.xml><?xml version="1.0" encoding="utf-8"?>
<calcChain xmlns="http://schemas.openxmlformats.org/spreadsheetml/2006/main">
  <c r="B35" i="11" l="1"/>
  <c r="H11" i="11"/>
  <c r="B5" i="12" l="1"/>
  <c r="I24" i="9"/>
  <c r="H24" i="9"/>
  <c r="G24" i="9"/>
  <c r="F24" i="9"/>
  <c r="E24" i="9"/>
  <c r="D24" i="9"/>
  <c r="E2" i="14" l="1"/>
  <c r="D2" i="14" s="1"/>
  <c r="C2" i="14" s="1"/>
  <c r="C4" i="14" s="1"/>
  <c r="E16" i="12"/>
  <c r="E22" i="12" s="1"/>
  <c r="H12" i="11"/>
  <c r="F16" i="12" s="1"/>
  <c r="F18" i="12" s="1"/>
  <c r="H13" i="11"/>
  <c r="G16" i="12" s="1"/>
  <c r="G21" i="12" s="1"/>
  <c r="H14" i="11"/>
  <c r="H16" i="12" s="1"/>
  <c r="H17" i="12" s="1"/>
  <c r="H15" i="11"/>
  <c r="I16" i="12" s="1"/>
  <c r="I17" i="12" s="1"/>
  <c r="H10" i="11"/>
  <c r="D16" i="12" s="1"/>
  <c r="D18" i="12" s="1"/>
  <c r="E9" i="12"/>
  <c r="E8" i="12"/>
  <c r="E7" i="12"/>
  <c r="O4" i="12" s="1"/>
  <c r="P4" i="12" s="1"/>
  <c r="E5" i="12"/>
  <c r="D19" i="1"/>
  <c r="D20" i="1"/>
  <c r="D18" i="1"/>
  <c r="E4" i="12"/>
  <c r="R4" i="12"/>
  <c r="E6" i="12"/>
  <c r="C6" i="14" l="1"/>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s="1"/>
  <c r="O5" i="12" l="1"/>
  <c r="P5" i="12" s="1"/>
  <c r="J18" i="12"/>
  <c r="J20" i="12"/>
  <c r="J19" i="12"/>
  <c r="J23" i="12"/>
  <c r="J17" i="12"/>
  <c r="J22" i="12"/>
  <c r="J21" i="12"/>
  <c r="M6" i="12"/>
  <c r="R6" i="12" s="1"/>
  <c r="O6" i="12" l="1"/>
  <c r="P6" i="12" s="1"/>
  <c r="M7" i="12"/>
  <c r="R7" i="12" s="1"/>
  <c r="C21" i="2"/>
  <c r="B18" i="5" s="1"/>
  <c r="E17" i="5" s="1"/>
  <c r="C22" i="2"/>
  <c r="B19" i="5"/>
  <c r="E18" i="5" s="1"/>
  <c r="G4" i="7"/>
  <c r="G5" i="7" s="1"/>
  <c r="G4" i="5"/>
  <c r="G5" i="5" s="1"/>
  <c r="G6" i="5" s="1"/>
  <c r="G7" i="5" s="1"/>
  <c r="G8" i="5" s="1"/>
  <c r="G9" i="5" s="1"/>
  <c r="G10" i="5" s="1"/>
  <c r="G11" i="5" s="1"/>
  <c r="G12" i="5" s="1"/>
  <c r="G13" i="5" s="1"/>
  <c r="G14" i="5" s="1"/>
  <c r="B18" i="7"/>
  <c r="B17" i="7"/>
  <c r="B16" i="7"/>
  <c r="E17" i="7"/>
  <c r="O6" i="4"/>
  <c r="K6" i="4"/>
  <c r="I6" i="4"/>
  <c r="B5" i="4"/>
  <c r="C5" i="4"/>
  <c r="D5" i="4"/>
  <c r="E5" i="4"/>
  <c r="F5" i="4"/>
  <c r="P5" i="4" s="1"/>
  <c r="C8" i="2" s="1"/>
  <c r="F5" i="9" s="1"/>
  <c r="G5" i="4"/>
  <c r="H5" i="4"/>
  <c r="B6" i="4"/>
  <c r="C6" i="4"/>
  <c r="D6" i="4"/>
  <c r="E6" i="4"/>
  <c r="F6" i="4"/>
  <c r="G6" i="4"/>
  <c r="H6" i="4"/>
  <c r="J5" i="4"/>
  <c r="K5" i="4"/>
  <c r="L5" i="4"/>
  <c r="M5" i="4"/>
  <c r="N5" i="4"/>
  <c r="I5" i="4"/>
  <c r="J6" i="4"/>
  <c r="L6" i="4"/>
  <c r="M6" i="4"/>
  <c r="N6" i="4"/>
  <c r="D12" i="1"/>
  <c r="E9" i="1" s="1"/>
  <c r="E11" i="1"/>
  <c r="E8" i="1"/>
  <c r="E12" i="1"/>
  <c r="E5" i="1"/>
  <c r="H4" i="1" s="1"/>
  <c r="E6" i="1"/>
  <c r="E7" i="1"/>
  <c r="E10" i="1"/>
  <c r="J14" i="5" l="1"/>
  <c r="G15" i="5"/>
  <c r="H14" i="5"/>
  <c r="H10" i="5"/>
  <c r="I5" i="7"/>
  <c r="G6" i="7"/>
  <c r="H5" i="7"/>
  <c r="H6" i="1"/>
  <c r="H4" i="7"/>
  <c r="I4" i="7" s="1"/>
  <c r="E4" i="1"/>
  <c r="H5" i="1" s="1"/>
  <c r="H7" i="1" s="1"/>
  <c r="O7" i="12"/>
  <c r="P7" i="12" s="1"/>
  <c r="D5" i="6"/>
  <c r="C20" i="2" s="1"/>
  <c r="B21" i="5" s="1"/>
  <c r="F7" i="9"/>
  <c r="F6" i="9"/>
  <c r="Q4" i="12" s="1"/>
  <c r="F9" i="9"/>
  <c r="F11" i="9"/>
  <c r="F10" i="9"/>
  <c r="F8" i="9"/>
  <c r="C11" i="2"/>
  <c r="M8" i="12"/>
  <c r="R8" i="12" s="1"/>
  <c r="H6" i="5"/>
  <c r="H11" i="5"/>
  <c r="D4" i="6"/>
  <c r="C19" i="2" s="1"/>
  <c r="B20" i="5" s="1"/>
  <c r="J5" i="5"/>
  <c r="J13" i="5"/>
  <c r="J11" i="5"/>
  <c r="J10" i="5"/>
  <c r="J9" i="5"/>
  <c r="J4" i="5"/>
  <c r="K4" i="5" s="1"/>
  <c r="J12" i="5"/>
  <c r="J8" i="5"/>
  <c r="J7" i="5"/>
  <c r="J6" i="5"/>
  <c r="H12" i="5"/>
  <c r="H4" i="5"/>
  <c r="H13" i="5"/>
  <c r="H5" i="5"/>
  <c r="D21" i="1"/>
  <c r="C15" i="2" s="1"/>
  <c r="H7" i="5"/>
  <c r="H8" i="5"/>
  <c r="H9" i="5"/>
  <c r="S4" i="12" l="1"/>
  <c r="Q5" i="12"/>
  <c r="S5" i="12" s="1"/>
  <c r="C21" i="1"/>
  <c r="G7" i="7"/>
  <c r="H6" i="7"/>
  <c r="I6" i="7" s="1"/>
  <c r="H15" i="5"/>
  <c r="I15" i="5" s="1"/>
  <c r="J15" i="5"/>
  <c r="K15" i="5" s="1"/>
  <c r="G16" i="5"/>
  <c r="O8" i="12"/>
  <c r="O9" i="12" s="1"/>
  <c r="K10" i="5"/>
  <c r="K12" i="5"/>
  <c r="K8" i="5"/>
  <c r="K14" i="5"/>
  <c r="K7" i="5"/>
  <c r="K5" i="5"/>
  <c r="K6" i="5"/>
  <c r="K13" i="5"/>
  <c r="K11" i="5"/>
  <c r="K9" i="5"/>
  <c r="I13" i="5"/>
  <c r="M9" i="12"/>
  <c r="R9" i="12" s="1"/>
  <c r="I7" i="5"/>
  <c r="I8" i="5"/>
  <c r="I10" i="5"/>
  <c r="I9" i="5"/>
  <c r="I14" i="5"/>
  <c r="I12" i="5"/>
  <c r="I5" i="5"/>
  <c r="I6" i="5"/>
  <c r="I11" i="5"/>
  <c r="B19" i="7"/>
  <c r="I4" i="5"/>
  <c r="P8" i="12" l="1"/>
  <c r="H7" i="7"/>
  <c r="I7" i="7"/>
  <c r="J7" i="7" s="1"/>
  <c r="G8" i="7"/>
  <c r="Q6" i="12"/>
  <c r="S6" i="12" s="1"/>
  <c r="H16" i="5"/>
  <c r="J16" i="5"/>
  <c r="K16" i="5" s="1"/>
  <c r="G17" i="5"/>
  <c r="O10" i="12"/>
  <c r="P9" i="12"/>
  <c r="M10" i="12"/>
  <c r="J6" i="7"/>
  <c r="J5" i="7"/>
  <c r="J4" i="7"/>
  <c r="Q7" i="12" l="1"/>
  <c r="S7" i="12" s="1"/>
  <c r="H8" i="7"/>
  <c r="I8" i="7"/>
  <c r="J8" i="7" s="1"/>
  <c r="G9" i="7"/>
  <c r="I16" i="5"/>
  <c r="H17" i="5"/>
  <c r="I17" i="5" s="1"/>
  <c r="J17" i="5"/>
  <c r="K17" i="5" s="1"/>
  <c r="G18" i="5"/>
  <c r="R10" i="12"/>
  <c r="O11" i="12"/>
  <c r="P10" i="12"/>
  <c r="M11" i="12"/>
  <c r="B11" i="7"/>
  <c r="B12" i="7" s="1"/>
  <c r="Q8" i="12" l="1"/>
  <c r="S8" i="12" s="1"/>
  <c r="J18" i="5"/>
  <c r="K18" i="5" s="1"/>
  <c r="G19" i="5"/>
  <c r="H18" i="5"/>
  <c r="I18" i="5" s="1"/>
  <c r="G10" i="7"/>
  <c r="H9" i="7"/>
  <c r="I9" i="7" s="1"/>
  <c r="J9" i="7" s="1"/>
  <c r="R11" i="12"/>
  <c r="P11" i="12"/>
  <c r="O12" i="12"/>
  <c r="M12" i="12"/>
  <c r="Q9" i="12" l="1"/>
  <c r="S9" i="12" s="1"/>
  <c r="H19" i="5"/>
  <c r="J19" i="5"/>
  <c r="K19" i="5" s="1"/>
  <c r="G20" i="5"/>
  <c r="G11" i="7"/>
  <c r="H10" i="7"/>
  <c r="I10" i="7"/>
  <c r="J10" i="7" s="1"/>
  <c r="R12" i="12"/>
  <c r="O13" i="12"/>
  <c r="P12" i="12"/>
  <c r="M13" i="12"/>
  <c r="Q10" i="12" l="1"/>
  <c r="S10" i="12" s="1"/>
  <c r="I19" i="5"/>
  <c r="H11" i="7"/>
  <c r="I11" i="7" s="1"/>
  <c r="J11" i="7" s="1"/>
  <c r="G12" i="7"/>
  <c r="H20" i="5"/>
  <c r="I20" i="5" s="1"/>
  <c r="J20" i="5"/>
  <c r="K20" i="5" s="1"/>
  <c r="G21" i="5"/>
  <c r="R13" i="12"/>
  <c r="O14" i="12"/>
  <c r="P13" i="12"/>
  <c r="M14" i="12"/>
  <c r="Q11" i="12" l="1"/>
  <c r="S11" i="12" s="1"/>
  <c r="H21" i="5"/>
  <c r="I21" i="5" s="1"/>
  <c r="J21" i="5"/>
  <c r="K21" i="5" s="1"/>
  <c r="G22" i="5"/>
  <c r="H12" i="7"/>
  <c r="I12" i="7"/>
  <c r="J12" i="7" s="1"/>
  <c r="G13" i="7"/>
  <c r="R14" i="12"/>
  <c r="O15" i="12"/>
  <c r="P14" i="12"/>
  <c r="M15" i="12"/>
  <c r="Q12" i="12" l="1"/>
  <c r="Q13" i="12" s="1"/>
  <c r="S13" i="12" s="1"/>
  <c r="G14" i="7"/>
  <c r="H13" i="7"/>
  <c r="I13" i="7" s="1"/>
  <c r="J13" i="7" s="1"/>
  <c r="J22" i="5"/>
  <c r="K22" i="5" s="1"/>
  <c r="G23" i="5"/>
  <c r="H22" i="5"/>
  <c r="R15" i="12"/>
  <c r="O16" i="12"/>
  <c r="P15" i="12"/>
  <c r="M16" i="12"/>
  <c r="Q14" i="12" l="1"/>
  <c r="S14" i="12" s="1"/>
  <c r="S12" i="12"/>
  <c r="I22" i="5"/>
  <c r="G15" i="7"/>
  <c r="H14" i="7"/>
  <c r="I14" i="7" s="1"/>
  <c r="J14" i="7" s="1"/>
  <c r="H23" i="5"/>
  <c r="I23" i="5" s="1"/>
  <c r="J23" i="5"/>
  <c r="K23" i="5" s="1"/>
  <c r="G24" i="5"/>
  <c r="R16" i="12"/>
  <c r="O17" i="12"/>
  <c r="P16" i="12"/>
  <c r="M17" i="12"/>
  <c r="Q15" i="12" l="1"/>
  <c r="S15" i="12" s="1"/>
  <c r="H24" i="5"/>
  <c r="I24" i="5" s="1"/>
  <c r="J24" i="5"/>
  <c r="K24" i="5" s="1"/>
  <c r="B11" i="5" s="1"/>
  <c r="B12" i="5" s="1"/>
  <c r="G25" i="5"/>
  <c r="H15" i="7"/>
  <c r="I15" i="7" s="1"/>
  <c r="J15" i="7" s="1"/>
  <c r="G16" i="7"/>
  <c r="R17" i="12"/>
  <c r="O18" i="12"/>
  <c r="P17" i="12"/>
  <c r="M18" i="12"/>
  <c r="Q16" i="12" l="1"/>
  <c r="S16" i="12" s="1"/>
  <c r="H25" i="5"/>
  <c r="I25" i="5" s="1"/>
  <c r="J25" i="5"/>
  <c r="K25" i="5" s="1"/>
  <c r="G26" i="5"/>
  <c r="H16" i="7"/>
  <c r="I16" i="7" s="1"/>
  <c r="J16" i="7" s="1"/>
  <c r="G17" i="7"/>
  <c r="R18" i="12"/>
  <c r="O19" i="12"/>
  <c r="P18" i="12"/>
  <c r="M19" i="12"/>
  <c r="Q17" i="12" l="1"/>
  <c r="S17" i="12" s="1"/>
  <c r="J26" i="5"/>
  <c r="K26" i="5" s="1"/>
  <c r="G27" i="5"/>
  <c r="H26" i="5"/>
  <c r="I26" i="5" s="1"/>
  <c r="I17" i="7"/>
  <c r="J17" i="7" s="1"/>
  <c r="G18" i="7"/>
  <c r="H17" i="7"/>
  <c r="R19" i="12"/>
  <c r="O20" i="12"/>
  <c r="P19" i="12"/>
  <c r="M20" i="12"/>
  <c r="Q18" i="12" l="1"/>
  <c r="S18" i="12" s="1"/>
  <c r="H27" i="5"/>
  <c r="I27" i="5" s="1"/>
  <c r="J27" i="5"/>
  <c r="K27" i="5" s="1"/>
  <c r="G28" i="5"/>
  <c r="G19" i="7"/>
  <c r="H18" i="7"/>
  <c r="I18" i="7"/>
  <c r="J18" i="7" s="1"/>
  <c r="R20" i="12"/>
  <c r="O21" i="12"/>
  <c r="P20" i="12"/>
  <c r="M21" i="12"/>
  <c r="Q19" i="12" l="1"/>
  <c r="S19" i="12" s="1"/>
  <c r="H19" i="7"/>
  <c r="I19" i="7"/>
  <c r="J19" i="7" s="1"/>
  <c r="G20" i="7"/>
  <c r="H28" i="5"/>
  <c r="I28" i="5" s="1"/>
  <c r="J28" i="5"/>
  <c r="K28" i="5" s="1"/>
  <c r="G29" i="5"/>
  <c r="R21" i="12"/>
  <c r="O22" i="12"/>
  <c r="P21" i="12"/>
  <c r="M22" i="12"/>
  <c r="Q20" i="12" l="1"/>
  <c r="S20" i="12" s="1"/>
  <c r="H20" i="7"/>
  <c r="I20" i="7"/>
  <c r="J20" i="7" s="1"/>
  <c r="G21" i="7"/>
  <c r="H29" i="5"/>
  <c r="J29" i="5"/>
  <c r="K29" i="5" s="1"/>
  <c r="R22" i="12"/>
  <c r="O23" i="12"/>
  <c r="P22" i="12"/>
  <c r="M23" i="12"/>
  <c r="Q21" i="12" l="1"/>
  <c r="S21" i="12" s="1"/>
  <c r="I29" i="5"/>
  <c r="B13" i="5"/>
  <c r="I21" i="7"/>
  <c r="J21" i="7" s="1"/>
  <c r="G22" i="7"/>
  <c r="H21" i="7"/>
  <c r="R23" i="12"/>
  <c r="O24" i="12"/>
  <c r="P23" i="12"/>
  <c r="M24" i="12"/>
  <c r="Q22" i="12" l="1"/>
  <c r="Q23" i="12" s="1"/>
  <c r="S23" i="12" s="1"/>
  <c r="G23" i="7"/>
  <c r="H22" i="7"/>
  <c r="I22" i="7"/>
  <c r="J22" i="7" s="1"/>
  <c r="R24" i="12"/>
  <c r="O25" i="12"/>
  <c r="P24" i="12"/>
  <c r="M25" i="12"/>
  <c r="Q24" i="12" l="1"/>
  <c r="S24" i="12" s="1"/>
  <c r="S22" i="12"/>
  <c r="H23" i="7"/>
  <c r="I23" i="7"/>
  <c r="J23" i="7" s="1"/>
  <c r="G24" i="7"/>
  <c r="R25" i="12"/>
  <c r="O26" i="12"/>
  <c r="P25" i="12"/>
  <c r="M26" i="12"/>
  <c r="Q25" i="12" l="1"/>
  <c r="S25" i="12" s="1"/>
  <c r="H24" i="7"/>
  <c r="I24" i="7"/>
  <c r="J24" i="7" s="1"/>
  <c r="G25" i="7"/>
  <c r="R26" i="12"/>
  <c r="O27" i="12"/>
  <c r="P26" i="12"/>
  <c r="M27" i="12"/>
  <c r="Q26" i="12" l="1"/>
  <c r="S26" i="12" s="1"/>
  <c r="G26" i="7"/>
  <c r="H25" i="7"/>
  <c r="I25" i="7" s="1"/>
  <c r="J25" i="7" s="1"/>
  <c r="R27" i="12"/>
  <c r="O28" i="12"/>
  <c r="P27" i="12"/>
  <c r="M28" i="12"/>
  <c r="Q27" i="12" l="1"/>
  <c r="S27" i="12" s="1"/>
  <c r="G27" i="7"/>
  <c r="H26" i="7"/>
  <c r="I26" i="7"/>
  <c r="J26" i="7" s="1"/>
  <c r="R28" i="12"/>
  <c r="O29" i="12"/>
  <c r="P28" i="12"/>
  <c r="M29" i="12"/>
  <c r="Q28" i="12" l="1"/>
  <c r="S28" i="12" s="1"/>
  <c r="H27" i="7"/>
  <c r="I27" i="7"/>
  <c r="J27" i="7" s="1"/>
  <c r="G28" i="7"/>
  <c r="P29" i="12"/>
  <c r="O30" i="12"/>
  <c r="M30" i="12"/>
  <c r="R29" i="12"/>
  <c r="Q29" i="12" l="1"/>
  <c r="S29" i="12" s="1"/>
  <c r="H28" i="7"/>
  <c r="I28" i="7"/>
  <c r="J28" i="7" s="1"/>
  <c r="G29" i="7"/>
  <c r="P30" i="12"/>
  <c r="O31" i="12"/>
  <c r="R30" i="12"/>
  <c r="M31" i="12"/>
  <c r="M32" i="12" s="1"/>
  <c r="Q30" i="12" l="1"/>
  <c r="S30" i="12" s="1"/>
  <c r="H29" i="7"/>
  <c r="I29" i="7" s="1"/>
  <c r="J29" i="7" s="1"/>
  <c r="M33" i="12"/>
  <c r="R32" i="12"/>
  <c r="P31" i="12"/>
  <c r="O32" i="12"/>
  <c r="R31" i="12"/>
  <c r="Q31" i="12" l="1"/>
  <c r="S31" i="12" s="1"/>
  <c r="M34" i="12"/>
  <c r="R33" i="12"/>
  <c r="P32" i="12"/>
  <c r="O33" i="12"/>
  <c r="Q32" i="12" l="1"/>
  <c r="S32" i="12" s="1"/>
  <c r="R34" i="12"/>
  <c r="M35" i="12"/>
  <c r="P33" i="12"/>
  <c r="O34" i="12"/>
  <c r="Q33" i="12" l="1"/>
  <c r="S33" i="12" s="1"/>
  <c r="M36" i="12"/>
  <c r="R35" i="12"/>
  <c r="P34" i="12"/>
  <c r="O35" i="12"/>
  <c r="Q34" i="12" l="1"/>
  <c r="S34" i="12" s="1"/>
  <c r="R36" i="12"/>
  <c r="P35" i="12"/>
  <c r="O36" i="12"/>
  <c r="P36" i="12" s="1"/>
  <c r="Q35" i="12" l="1"/>
  <c r="Q36" i="12" s="1"/>
  <c r="S36" i="12" s="1"/>
  <c r="B29" i="11" l="1"/>
  <c r="S35" i="12"/>
  <c r="B30" i="11" s="1"/>
</calcChain>
</file>

<file path=xl/sharedStrings.xml><?xml version="1.0" encoding="utf-8"?>
<sst xmlns="http://schemas.openxmlformats.org/spreadsheetml/2006/main" count="502" uniqueCount="329">
  <si>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</si>
  <si>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</si>
  <si>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</si>
  <si>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</si>
  <si>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</si>
  <si>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</si>
  <si>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</si>
  <si>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</si>
  <si>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</si>
  <si>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</si>
  <si>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</si>
  <si>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</si>
  <si>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</si>
  <si>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</si>
  <si>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</si>
  <si>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</si>
  <si>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</si>
  <si>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</si>
  <si>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</si>
  <si>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</si>
  <si>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</si>
  <si>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</si>
  <si>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</si>
  <si>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</si>
  <si>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</si>
  <si>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</si>
  <si>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</si>
  <si>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</si>
  <si>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</si>
  <si>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</si>
  <si>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</si>
  <si>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</si>
  <si>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</si>
  <si>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</si>
  <si>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</si>
  <si>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</si>
  <si>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</si>
  <si>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</si>
  <si>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</si>
  <si>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</si>
  <si>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</si>
  <si>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</si>
  <si>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</si>
  <si>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</si>
  <si>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</si>
  <si>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</si>
  <si>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</si>
  <si>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</si>
  <si>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</si>
  <si>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</si>
  <si>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</si>
  <si>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</si>
  <si>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</si>
  <si>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</si>
  <si>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</si>
  <si>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</si>
  <si>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</si>
  <si>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</si>
  <si>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</si>
  <si>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</si>
  <si>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</si>
  <si>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</si>
  <si>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</si>
  <si>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</si>
  <si>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</si>
  <si>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</si>
  <si>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</si>
  <si>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</si>
  <si>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</si>
  <si>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</si>
  <si>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</si>
  <si>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</si>
  <si>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</si>
  <si>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</si>
  <si>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</si>
  <si>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</si>
  <si>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</si>
  <si>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</si>
  <si>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</si>
  <si>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</si>
  <si>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</si>
  <si>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</si>
  <si>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</si>
  <si>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</si>
  <si>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</si>
  <si>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</si>
  <si>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</si>
  <si>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</si>
  <si>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</si>
  <si>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</si>
  <si>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</si>
  <si>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</si>
  <si>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</si>
  <si>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</si>
  <si>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</si>
  <si>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</si>
  <si>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</si>
  <si>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</si>
  <si>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</si>
  <si>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</si>
  <si>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</si>
  <si>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</si>
  <si>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</si>
  <si>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</si>
  <si>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</si>
  <si>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</si>
  <si>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</si>
  <si>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</si>
  <si>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</si>
  <si>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</si>
  <si>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</si>
  <si>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</si>
  <si>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</si>
  <si>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</si>
  <si>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</si>
  <si>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</si>
  <si>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</si>
  <si>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</si>
  <si>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</si>
  <si>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</si>
  <si>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</si>
  <si>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</si>
  <si>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</si>
  <si>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</si>
  <si>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</si>
  <si>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</si>
  <si>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</si>
  <si>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</si>
  <si>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</si>
  <si>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</si>
  <si>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</si>
  <si>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</si>
  <si>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</si>
  <si>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</si>
  <si>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</si>
  <si>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</si>
  <si>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</si>
  <si>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</si>
  <si>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</si>
  <si>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</si>
  <si>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</si>
  <si>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</si>
  <si>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</si>
  <si>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</si>
  <si>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</si>
  <si>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</si>
  <si>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Tot_Injry_Cnt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</si>
  <si>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</si>
  <si>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</si>
  <si>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</si>
  <si>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</si>
  <si>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</si>
  <si>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</si>
  <si>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</si>
  <si>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</si>
  <si>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</si>
  <si>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</si>
  <si>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</si>
  <si>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</si>
  <si>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</si>
  <si>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</si>
  <si>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</si>
  <si>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</si>
  <si>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</si>
  <si>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</si>
  <si>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</si>
  <si>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</si>
  <si>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</si>
  <si>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</si>
  <si>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</si>
  <si>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</si>
  <si>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</si>
  <si>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</si>
  <si>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</si>
  <si>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</si>
  <si>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</si>
  <si>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</si>
  <si>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</si>
  <si>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</si>
  <si>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</si>
  <si>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</si>
  <si>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</si>
  <si>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</si>
  <si>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</si>
  <si>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</si>
  <si>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</si>
  <si>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</si>
  <si>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</si>
  <si>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</si>
  <si>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</si>
  <si>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</si>
  <si>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</si>
  <si>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</si>
  <si>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</si>
  <si>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</si>
  <si>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</si>
  <si>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</si>
  <si>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</si>
  <si>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</si>
  <si>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</si>
  <si>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</si>
  <si>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</si>
  <si>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</si>
  <si>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</si>
  <si>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</si>
  <si>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</si>
  <si>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</si>
  <si>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</si>
  <si>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</si>
  <si>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</si>
  <si>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</si>
  <si>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</si>
  <si>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</si>
  <si>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</si>
  <si>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</si>
  <si>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</si>
  <si>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</si>
  <si>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</si>
  <si>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</si>
  <si>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</si>
  <si>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</si>
  <si>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</si>
  <si>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</si>
  <si>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</si>
  <si>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</si>
  <si>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</si>
  <si>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</si>
  <si>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</si>
  <si>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</si>
  <si>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</si>
  <si>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</si>
  <si>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</si>
  <si>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</si>
  <si>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</si>
  <si>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</si>
  <si>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</si>
  <si>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</si>
  <si>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</si>
  <si>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</si>
  <si>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</si>
  <si>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</si>
  <si>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</si>
  <si>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</si>
  <si>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</si>
  <si>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</si>
  <si>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</si>
  <si>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</si>
  <si>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</si>
  <si>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</si>
  <si>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</si>
  <si>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</si>
  <si>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</si>
  <si>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</si>
  <si>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</si>
  <si>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</si>
  <si>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</si>
  <si>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</si>
  <si>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</si>
  <si>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</si>
  <si>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</si>
  <si>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</si>
  <si>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</si>
  <si>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</si>
  <si>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</si>
  <si>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</si>
  <si>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</si>
  <si>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</si>
  <si>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</si>
  <si>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</si>
  <si>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</si>
  <si>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</si>
  <si>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</si>
  <si>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</si>
  <si>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</si>
  <si>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</si>
  <si>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</si>
  <si>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</si>
  <si>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</si>
  <si>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</si>
  <si>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</si>
  <si>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</si>
  <si>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</si>
  <si>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</si>
  <si>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</si>
  <si>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</si>
  <si>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</si>
  <si>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</si>
  <si>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</si>
  <si>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</si>
  <si>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</si>
  <si>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</si>
  <si>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</si>
  <si>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</si>
  <si>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</si>
  <si>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</si>
  <si>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</si>
  <si>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</si>
  <si>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</si>
  <si>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</si>
  <si>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</si>
  <si>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</si>
  <si>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</si>
  <si>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</si>
  <si>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</si>
  <si>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</si>
  <si>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</si>
  <si>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</si>
  <si>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</si>
  <si>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</si>
  <si>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</si>
  <si>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</si>
  <si>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</si>
  <si>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</si>
  <si>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</si>
  <si>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</si>
  <si>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</si>
  <si>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</si>
  <si>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</si>
  <si>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</si>
  <si>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</si>
  <si>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</si>
  <si>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 xml:space="preserve">Name: </t>
  </si>
  <si>
    <t xml:space="preserve">Memorial Drive (BW 8 to Tallowood) </t>
  </si>
  <si>
    <t>*Crash Reduction Factors Applied:</t>
  </si>
  <si>
    <t xml:space="preserve">Install curb and gutter </t>
  </si>
  <si>
    <t>CRF %</t>
  </si>
  <si>
    <t>Less 100, multiple  each factor</t>
  </si>
  <si>
    <t>Introduced left-turn channels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</si>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</sst>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000000"/>
      <name val="Calibri"/>
      <family val="2"/>
    </font>
    <font>
      <b/>
      <sz val="9"/>
      <color rgb="FF000000"/>
      <name val="Calibri"/>
      <family val="2"/>
    </font>
    <font>
      <b/>
      <sz val="9"/>
      <color rgb="FFFF0000"/>
      <name val="Calibri"/>
      <family val="2"/>
    </font>
  </fonts>
  <fills count="5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1" applyNumberFormat="0" applyAlignment="0" applyProtection="0"/>
    <xf numFmtId="0" fontId="26" fillId="23" borderId="12" applyNumberFormat="0" applyAlignment="0" applyProtection="0"/>
    <xf numFmtId="0" fontId="27" fillId="23" borderId="11" applyNumberFormat="0" applyAlignment="0" applyProtection="0"/>
    <xf numFmtId="0" fontId="28" fillId="0" borderId="13" applyNumberFormat="0" applyFill="0" applyAlignment="0" applyProtection="0"/>
    <xf numFmtId="0" fontId="2" fillId="24" borderId="14" applyNumberFormat="0" applyAlignment="0" applyProtection="0"/>
    <xf numFmtId="0" fontId="29" fillId="0" borderId="0" applyNumberFormat="0" applyFill="0" applyBorder="0" applyAlignment="0" applyProtection="0"/>
    <xf numFmtId="0" fontId="1" fillId="25" borderId="15" applyNumberFormat="0" applyFont="0" applyAlignment="0" applyProtection="0"/>
    <xf numFmtId="0" fontId="30" fillId="0" borderId="0" applyNumberFormat="0" applyFill="0" applyBorder="0" applyAlignment="0" applyProtection="0"/>
    <xf numFmtId="0" fontId="3" fillId="0" borderId="16" applyNumberFormat="0" applyFill="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1" fillId="49" borderId="0" applyNumberFormat="0" applyBorder="0" applyAlignment="0" applyProtection="0"/>
  </cellStyleXfs>
  <cellXfs count="128">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18" fontId="0" fillId="0" borderId="0" xfId="0" applyNumberFormat="1"/>
    <xf numFmtId="14" fontId="0" fillId="0" borderId="0" xfId="0" applyNumberFormat="1"/>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3" fontId="0" fillId="18" borderId="1" xfId="0" applyNumberFormat="1" applyFill="1" applyBorder="1" applyProtection="1">
      <protection locked="0"/>
    </xf>
    <xf numFmtId="0" fontId="2" fillId="16" borderId="2" xfId="0" applyFont="1" applyFill="1" applyBorder="1"/>
    <xf numFmtId="0" fontId="0" fillId="16" borderId="1" xfId="0" applyFill="1" applyBorder="1"/>
    <xf numFmtId="0" fontId="0" fillId="3" borderId="1" xfId="0" applyFill="1" applyBorder="1" applyAlignment="1" applyProtection="1">
      <alignment wrapText="1"/>
      <protection locked="0"/>
    </xf>
    <xf numFmtId="0" fontId="0" fillId="0" borderId="0" xfId="0" applyAlignment="1">
      <alignment horizontal="right"/>
    </xf>
    <xf numFmtId="10" fontId="0" fillId="0" borderId="0" xfId="0" applyNumberFormat="1"/>
    <xf numFmtId="9" fontId="0" fillId="0" borderId="0" xfId="0" applyNumberFormat="1"/>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1" builtinId="3"/>
    <cellStyle name="Currency" xfId="2"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te" xfId="19" builtinId="10" customBuiltin="1"/>
    <cellStyle name="Output" xfId="14" builtinId="21" customBuiltin="1"/>
    <cellStyle name="Percent" xfId="3" builtinId="5"/>
    <cellStyle name="Title" xfId="5" builtinId="15" customBuiltin="1"/>
    <cellStyle name="Total" xfId="21" builtinId="25" customBuiltin="1"/>
    <cellStyle name="Warning Text" xfId="18" builtinId="11" customBuiltin="1"/>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5</xdr:row>
          <xdr:rowOff>28575</xdr:rowOff>
        </xdr:from>
        <xdr:to>
          <xdr:col>4</xdr:col>
          <xdr:colOff>581025</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19050</xdr:rowOff>
        </xdr:from>
        <xdr:to>
          <xdr:col>4</xdr:col>
          <xdr:colOff>581025</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15" zoomScaleNormal="115" workbookViewId="0">
      <selection activeCell="A22" sqref="A22"/>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22</v>
      </c>
      <c r="G3" s="21" t="s">
        <v>26</v>
      </c>
      <c r="H3" s="21"/>
      <c r="I3" s="21" t="s">
        <v>33</v>
      </c>
      <c r="J3" s="21" t="s">
        <v>73</v>
      </c>
    </row>
    <row r="4" spans="1:10" x14ac:dyDescent="0.25">
      <c r="A4" s="12" t="s">
        <v>18</v>
      </c>
      <c r="B4" s="13"/>
      <c r="D4" s="12" t="s">
        <v>68</v>
      </c>
      <c r="E4" s="68">
        <v>2015</v>
      </c>
      <c r="G4" s="19">
        <f>E4</f>
        <v>2015</v>
      </c>
      <c r="H4" s="19">
        <f>IF(G4&lt;2041,1,0)</f>
        <v>1</v>
      </c>
      <c r="I4" s="29">
        <f>IF($G4&lt;($G$4+$E$5),$E$17,0)*H4</f>
        <v>0</v>
      </c>
      <c r="J4" s="56">
        <f>I4*$B$18*$B$19/10^3</f>
        <v>0</v>
      </c>
    </row>
    <row r="5" spans="1:10" x14ac:dyDescent="0.25">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x14ac:dyDescent="0.25">
      <c r="A6" s="12" t="s">
        <v>20</v>
      </c>
      <c r="B6" s="13">
        <v>1</v>
      </c>
      <c r="D6" s="121" t="s">
        <v>55</v>
      </c>
      <c r="E6" s="122"/>
      <c r="G6" s="19">
        <f t="shared" si="0"/>
        <v>2017</v>
      </c>
      <c r="H6" s="19">
        <f t="shared" si="1"/>
        <v>1</v>
      </c>
      <c r="I6" s="29">
        <f t="shared" si="2"/>
        <v>0</v>
      </c>
      <c r="J6" s="56">
        <f t="shared" si="3"/>
        <v>0</v>
      </c>
    </row>
    <row r="7" spans="1:10" x14ac:dyDescent="0.25">
      <c r="A7" s="12" t="s">
        <v>71</v>
      </c>
      <c r="B7" s="31"/>
      <c r="D7" s="12" t="s">
        <v>65</v>
      </c>
      <c r="E7" s="16"/>
      <c r="G7" s="20">
        <f t="shared" si="0"/>
        <v>2018</v>
      </c>
      <c r="H7" s="20">
        <f t="shared" si="1"/>
        <v>1</v>
      </c>
      <c r="I7" s="29">
        <f t="shared" si="2"/>
        <v>0</v>
      </c>
      <c r="J7" s="63">
        <f t="shared" si="3"/>
        <v>0</v>
      </c>
    </row>
    <row r="8" spans="1:10" x14ac:dyDescent="0.25">
      <c r="A8" s="30" t="s">
        <v>72</v>
      </c>
      <c r="B8" s="31"/>
      <c r="D8" s="12" t="s">
        <v>63</v>
      </c>
      <c r="E8" s="67">
        <v>1.1499999999999999</v>
      </c>
      <c r="G8" s="19">
        <f t="shared" si="0"/>
        <v>2019</v>
      </c>
      <c r="H8" s="19">
        <f t="shared" si="1"/>
        <v>1</v>
      </c>
      <c r="I8" s="29">
        <f t="shared" si="2"/>
        <v>0</v>
      </c>
      <c r="J8" s="56">
        <f t="shared" si="3"/>
        <v>0</v>
      </c>
    </row>
    <row r="9" spans="1:10" x14ac:dyDescent="0.25">
      <c r="G9" s="20">
        <f t="shared" si="0"/>
        <v>2020</v>
      </c>
      <c r="H9" s="20">
        <f t="shared" si="1"/>
        <v>1</v>
      </c>
      <c r="I9" s="29">
        <f t="shared" si="2"/>
        <v>0</v>
      </c>
      <c r="J9" s="63">
        <f t="shared" si="3"/>
        <v>0</v>
      </c>
    </row>
    <row r="10" spans="1:10" x14ac:dyDescent="0.25">
      <c r="A10" s="18" t="s">
        <v>31</v>
      </c>
      <c r="G10" s="19">
        <f t="shared" si="0"/>
        <v>2021</v>
      </c>
      <c r="H10" s="19">
        <f t="shared" si="1"/>
        <v>1</v>
      </c>
      <c r="I10" s="29">
        <f t="shared" si="2"/>
        <v>0</v>
      </c>
      <c r="J10" s="56">
        <f t="shared" si="3"/>
        <v>0</v>
      </c>
    </row>
    <row r="11" spans="1:10" x14ac:dyDescent="0.25">
      <c r="A11" s="17" t="s">
        <v>67</v>
      </c>
      <c r="B11" s="65" t="e">
        <f>NPV($B$17,J4:J29)/(1+$B$17)^(E4-B16+1)</f>
        <v>#VALUE!</v>
      </c>
      <c r="G11" s="20">
        <f t="shared" si="0"/>
        <v>2022</v>
      </c>
      <c r="H11" s="20">
        <f t="shared" si="1"/>
        <v>1</v>
      </c>
      <c r="I11" s="29">
        <f t="shared" si="2"/>
        <v>0</v>
      </c>
      <c r="J11" s="63">
        <f t="shared" si="3"/>
        <v>0</v>
      </c>
    </row>
    <row r="12" spans="1:10" x14ac:dyDescent="0.25">
      <c r="A12" s="17" t="s">
        <v>30</v>
      </c>
      <c r="B12" s="62" t="e">
        <f>B11/B7</f>
        <v>#VALUE!</v>
      </c>
      <c r="G12" s="19">
        <f t="shared" si="0"/>
        <v>2023</v>
      </c>
      <c r="H12" s="19">
        <f t="shared" si="1"/>
        <v>1</v>
      </c>
      <c r="I12" s="29">
        <f t="shared" si="2"/>
        <v>0</v>
      </c>
      <c r="J12" s="56">
        <f t="shared" si="3"/>
        <v>0</v>
      </c>
    </row>
    <row r="13" spans="1:10" x14ac:dyDescent="0.25">
      <c r="G13" s="20">
        <f t="shared" si="0"/>
        <v>2024</v>
      </c>
      <c r="H13" s="20">
        <f t="shared" si="1"/>
        <v>1</v>
      </c>
      <c r="I13" s="29">
        <f t="shared" si="2"/>
        <v>0</v>
      </c>
      <c r="J13" s="63">
        <f t="shared" si="3"/>
        <v>0</v>
      </c>
    </row>
    <row r="14" spans="1:10" x14ac:dyDescent="0.25">
      <c r="G14" s="19">
        <f>G13+1</f>
        <v>2025</v>
      </c>
      <c r="H14" s="19">
        <f t="shared" si="1"/>
        <v>1</v>
      </c>
      <c r="I14" s="29">
        <f t="shared" si="2"/>
        <v>0</v>
      </c>
      <c r="J14" s="56">
        <f t="shared" si="3"/>
        <v>0</v>
      </c>
    </row>
    <row r="15" spans="1:10" x14ac:dyDescent="0.25">
      <c r="A15" s="22" t="s">
        <v>14</v>
      </c>
      <c r="G15" s="20">
        <f t="shared" si="0"/>
        <v>2026</v>
      </c>
      <c r="H15" s="20">
        <f t="shared" si="1"/>
        <v>1</v>
      </c>
      <c r="I15" s="29">
        <f t="shared" si="2"/>
        <v>0</v>
      </c>
      <c r="J15" s="63">
        <f t="shared" si="3"/>
        <v>0</v>
      </c>
    </row>
    <row r="16" spans="1:10" x14ac:dyDescent="0.25">
      <c r="A16" s="23" t="s">
        <v>15</v>
      </c>
      <c r="B16" s="34">
        <f>'Assumed Values'!C5</f>
        <v>2015</v>
      </c>
      <c r="D16" s="22" t="s">
        <v>28</v>
      </c>
      <c r="E16" s="32" t="s">
        <v>22</v>
      </c>
      <c r="G16" s="19">
        <f t="shared" si="0"/>
        <v>2027</v>
      </c>
      <c r="H16" s="19">
        <f t="shared" si="1"/>
        <v>1</v>
      </c>
      <c r="I16" s="29">
        <f t="shared" si="2"/>
        <v>0</v>
      </c>
      <c r="J16" s="56">
        <f t="shared" si="3"/>
        <v>0</v>
      </c>
    </row>
    <row r="17" spans="1:10" x14ac:dyDescent="0.25">
      <c r="A17" s="23" t="s">
        <v>16</v>
      </c>
      <c r="B17" s="24" t="str">
        <f>'Assumed Values'!C6</f>
        <v>3% and 7%</v>
      </c>
      <c r="D17" s="26" t="s">
        <v>64</v>
      </c>
      <c r="E17" s="27">
        <f>E7/E8</f>
        <v>0</v>
      </c>
      <c r="G17" s="20">
        <f t="shared" si="0"/>
        <v>2028</v>
      </c>
      <c r="H17" s="20">
        <f t="shared" si="1"/>
        <v>1</v>
      </c>
      <c r="I17" s="29">
        <f t="shared" si="2"/>
        <v>0</v>
      </c>
      <c r="J17" s="63">
        <f t="shared" si="3"/>
        <v>0</v>
      </c>
    </row>
    <row r="18" spans="1:10" x14ac:dyDescent="0.25">
      <c r="A18" s="23" t="s">
        <v>17</v>
      </c>
      <c r="B18" s="23">
        <f>IF(B6=2,2.1, 1.1)</f>
        <v>1.1000000000000001</v>
      </c>
      <c r="G18" s="19">
        <f t="shared" si="0"/>
        <v>2029</v>
      </c>
      <c r="H18" s="19">
        <f t="shared" si="1"/>
        <v>1</v>
      </c>
      <c r="I18" s="29">
        <f t="shared" si="2"/>
        <v>0</v>
      </c>
      <c r="J18" s="56">
        <f t="shared" si="3"/>
        <v>0</v>
      </c>
    </row>
    <row r="19" spans="1:10" x14ac:dyDescent="0.25">
      <c r="A19" s="23" t="s">
        <v>21</v>
      </c>
      <c r="B19" s="25">
        <f>'Assumed Values'!C15</f>
        <v>16.100000000000001</v>
      </c>
      <c r="G19" s="20">
        <f t="shared" si="0"/>
        <v>2030</v>
      </c>
      <c r="H19" s="20">
        <f t="shared" si="1"/>
        <v>1</v>
      </c>
      <c r="I19" s="29">
        <f t="shared" si="2"/>
        <v>0</v>
      </c>
      <c r="J19" s="63">
        <f t="shared" si="3"/>
        <v>0</v>
      </c>
    </row>
    <row r="20" spans="1:10" x14ac:dyDescent="0.25">
      <c r="A20" s="23" t="s">
        <v>29</v>
      </c>
      <c r="B20" s="23">
        <v>260</v>
      </c>
      <c r="G20" s="19">
        <f t="shared" si="0"/>
        <v>2031</v>
      </c>
      <c r="H20" s="19">
        <f t="shared" si="1"/>
        <v>1</v>
      </c>
      <c r="I20" s="29">
        <f t="shared" si="2"/>
        <v>0</v>
      </c>
      <c r="J20" s="56">
        <f t="shared" si="3"/>
        <v>0</v>
      </c>
    </row>
    <row r="21" spans="1:10" x14ac:dyDescent="0.25">
      <c r="G21" s="20">
        <f t="shared" si="0"/>
        <v>2032</v>
      </c>
      <c r="H21" s="20">
        <f t="shared" si="1"/>
        <v>1</v>
      </c>
      <c r="I21" s="29">
        <f t="shared" si="2"/>
        <v>0</v>
      </c>
      <c r="J21" s="63">
        <f t="shared" si="3"/>
        <v>0</v>
      </c>
    </row>
    <row r="22" spans="1:10" x14ac:dyDescent="0.25">
      <c r="G22" s="19">
        <f t="shared" si="0"/>
        <v>2033</v>
      </c>
      <c r="H22" s="19">
        <f t="shared" si="1"/>
        <v>1</v>
      </c>
      <c r="I22" s="29">
        <f t="shared" si="2"/>
        <v>0</v>
      </c>
      <c r="J22" s="56">
        <f t="shared" si="3"/>
        <v>0</v>
      </c>
    </row>
    <row r="23" spans="1:10" x14ac:dyDescent="0.25">
      <c r="G23" s="20">
        <f t="shared" si="0"/>
        <v>2034</v>
      </c>
      <c r="H23" s="20">
        <f t="shared" si="1"/>
        <v>1</v>
      </c>
      <c r="I23" s="29">
        <f t="shared" si="2"/>
        <v>0</v>
      </c>
      <c r="J23" s="63">
        <f t="shared" si="3"/>
        <v>0</v>
      </c>
    </row>
    <row r="24" spans="1:10" x14ac:dyDescent="0.25">
      <c r="G24" s="19">
        <f t="shared" si="0"/>
        <v>2035</v>
      </c>
      <c r="H24" s="19">
        <f t="shared" si="1"/>
        <v>1</v>
      </c>
      <c r="I24" s="29">
        <f t="shared" si="2"/>
        <v>0</v>
      </c>
      <c r="J24" s="56">
        <f t="shared" si="3"/>
        <v>0</v>
      </c>
    </row>
    <row r="25" spans="1:10" x14ac:dyDescent="0.25">
      <c r="G25" s="20">
        <f t="shared" si="0"/>
        <v>2036</v>
      </c>
      <c r="H25" s="20">
        <f t="shared" si="1"/>
        <v>1</v>
      </c>
      <c r="I25" s="29">
        <f t="shared" si="2"/>
        <v>0</v>
      </c>
      <c r="J25" s="63">
        <f t="shared" ref="J25:J29" si="4">I25*$B$18*$B$19/10^3</f>
        <v>0</v>
      </c>
    </row>
    <row r="26" spans="1:10" x14ac:dyDescent="0.25">
      <c r="G26" s="19">
        <f t="shared" si="0"/>
        <v>2037</v>
      </c>
      <c r="H26" s="19">
        <f t="shared" si="1"/>
        <v>1</v>
      </c>
      <c r="I26" s="29">
        <f t="shared" si="2"/>
        <v>0</v>
      </c>
      <c r="J26" s="56">
        <f t="shared" si="4"/>
        <v>0</v>
      </c>
    </row>
    <row r="27" spans="1:10" x14ac:dyDescent="0.25">
      <c r="G27" s="20">
        <f t="shared" si="0"/>
        <v>2038</v>
      </c>
      <c r="H27" s="20">
        <f t="shared" si="1"/>
        <v>1</v>
      </c>
      <c r="I27" s="29">
        <f t="shared" si="2"/>
        <v>0</v>
      </c>
      <c r="J27" s="63">
        <f t="shared" si="4"/>
        <v>0</v>
      </c>
    </row>
    <row r="28" spans="1:10" x14ac:dyDescent="0.25">
      <c r="G28" s="19">
        <f t="shared" si="0"/>
        <v>2039</v>
      </c>
      <c r="H28" s="19">
        <f t="shared" si="1"/>
        <v>1</v>
      </c>
      <c r="I28" s="29">
        <f t="shared" si="2"/>
        <v>0</v>
      </c>
      <c r="J28" s="56">
        <f t="shared" si="4"/>
        <v>0</v>
      </c>
    </row>
    <row r="29" spans="1:10" x14ac:dyDescent="0.25">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22</v>
      </c>
      <c r="G3" s="21" t="s">
        <v>26</v>
      </c>
      <c r="H3" s="21" t="s">
        <v>62</v>
      </c>
      <c r="I3" s="21" t="s">
        <v>78</v>
      </c>
      <c r="J3" s="21" t="s">
        <v>61</v>
      </c>
      <c r="K3" s="21" t="s">
        <v>79</v>
      </c>
    </row>
    <row r="4" spans="1:11" x14ac:dyDescent="0.25">
      <c r="A4" s="12" t="s">
        <v>18</v>
      </c>
      <c r="B4" s="13"/>
      <c r="D4" s="12" t="s">
        <v>68</v>
      </c>
      <c r="E4" s="68">
        <v>2015</v>
      </c>
      <c r="G4" s="19">
        <f>E4</f>
        <v>2015</v>
      </c>
      <c r="H4" s="59">
        <f t="shared" ref="H4:H24" si="0">IF($G4&lt;($G$4+$E$5),$E$17,0)</f>
        <v>0</v>
      </c>
      <c r="I4" s="58">
        <f>H4*$B$20/10^3</f>
        <v>0</v>
      </c>
      <c r="J4" s="59">
        <f t="shared" ref="J4:J24" si="1">IF($G4&lt;($G$4+$E$5),$E$18,0)</f>
        <v>0</v>
      </c>
      <c r="K4" s="58">
        <f>J4*$B$21/10^3</f>
        <v>0</v>
      </c>
    </row>
    <row r="5" spans="1:11" x14ac:dyDescent="0.25">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x14ac:dyDescent="0.25">
      <c r="A6" s="12" t="s">
        <v>58</v>
      </c>
      <c r="B6" s="13">
        <v>2</v>
      </c>
      <c r="D6" s="121" t="s">
        <v>55</v>
      </c>
      <c r="E6" s="122"/>
      <c r="G6" s="19">
        <f t="shared" si="2"/>
        <v>2017</v>
      </c>
      <c r="H6" s="59">
        <f t="shared" si="0"/>
        <v>0</v>
      </c>
      <c r="I6" s="58">
        <f t="shared" si="3"/>
        <v>0</v>
      </c>
      <c r="J6" s="59">
        <f t="shared" si="1"/>
        <v>0</v>
      </c>
      <c r="K6" s="58">
        <f t="shared" si="4"/>
        <v>0</v>
      </c>
    </row>
    <row r="7" spans="1:11" x14ac:dyDescent="0.25">
      <c r="A7" s="12" t="s">
        <v>71</v>
      </c>
      <c r="B7" s="31"/>
      <c r="D7" s="12" t="s">
        <v>54</v>
      </c>
      <c r="E7" s="16"/>
      <c r="G7" s="20">
        <f t="shared" si="2"/>
        <v>2018</v>
      </c>
      <c r="H7" s="59">
        <f t="shared" si="0"/>
        <v>0</v>
      </c>
      <c r="I7" s="60">
        <f t="shared" si="3"/>
        <v>0</v>
      </c>
      <c r="J7" s="59">
        <f t="shared" si="1"/>
        <v>0</v>
      </c>
      <c r="K7" s="60">
        <f t="shared" si="4"/>
        <v>0</v>
      </c>
    </row>
    <row r="8" spans="1:11" x14ac:dyDescent="0.25">
      <c r="A8" s="30" t="s">
        <v>72</v>
      </c>
      <c r="B8" s="31"/>
      <c r="D8" s="121" t="s">
        <v>56</v>
      </c>
      <c r="E8" s="122"/>
      <c r="G8" s="19">
        <f t="shared" si="2"/>
        <v>2019</v>
      </c>
      <c r="H8" s="59">
        <f t="shared" si="0"/>
        <v>0</v>
      </c>
      <c r="I8" s="58">
        <f t="shared" si="3"/>
        <v>0</v>
      </c>
      <c r="J8" s="59">
        <f t="shared" si="1"/>
        <v>0</v>
      </c>
      <c r="K8" s="58">
        <f t="shared" si="4"/>
        <v>0</v>
      </c>
    </row>
    <row r="9" spans="1:11" x14ac:dyDescent="0.25">
      <c r="D9" s="12" t="s">
        <v>59</v>
      </c>
      <c r="E9" s="16"/>
      <c r="G9" s="20">
        <f t="shared" si="2"/>
        <v>2020</v>
      </c>
      <c r="H9" s="59">
        <f t="shared" si="0"/>
        <v>0</v>
      </c>
      <c r="I9" s="60">
        <f t="shared" si="3"/>
        <v>0</v>
      </c>
      <c r="J9" s="59">
        <f t="shared" si="1"/>
        <v>0</v>
      </c>
      <c r="K9" s="60">
        <f t="shared" si="4"/>
        <v>0</v>
      </c>
    </row>
    <row r="10" spans="1:11" x14ac:dyDescent="0.25">
      <c r="A10" s="18" t="s">
        <v>31</v>
      </c>
      <c r="D10" s="12" t="s">
        <v>60</v>
      </c>
      <c r="E10" s="16"/>
      <c r="G10" s="19">
        <f t="shared" si="2"/>
        <v>2021</v>
      </c>
      <c r="H10" s="59">
        <f t="shared" si="0"/>
        <v>0</v>
      </c>
      <c r="I10" s="58">
        <f t="shared" si="3"/>
        <v>0</v>
      </c>
      <c r="J10" s="59">
        <f t="shared" si="1"/>
        <v>0</v>
      </c>
      <c r="K10" s="58">
        <f t="shared" si="4"/>
        <v>0</v>
      </c>
    </row>
    <row r="11" spans="1:11" x14ac:dyDescent="0.25">
      <c r="A11" s="17" t="s">
        <v>80</v>
      </c>
      <c r="B11" s="61">
        <f>(NPV($B$17,K4:K24)+NPV($B$17,I4:I24))/(1+$B$17)^2</f>
        <v>0</v>
      </c>
      <c r="G11" s="20">
        <f t="shared" si="2"/>
        <v>2022</v>
      </c>
      <c r="H11" s="59">
        <f t="shared" si="0"/>
        <v>0</v>
      </c>
      <c r="I11" s="60">
        <f t="shared" si="3"/>
        <v>0</v>
      </c>
      <c r="J11" s="59">
        <f t="shared" si="1"/>
        <v>0</v>
      </c>
      <c r="K11" s="60">
        <f t="shared" si="4"/>
        <v>0</v>
      </c>
    </row>
    <row r="12" spans="1:11" x14ac:dyDescent="0.25">
      <c r="A12" s="17" t="s">
        <v>30</v>
      </c>
      <c r="B12" s="62" t="e">
        <f>B11/B7</f>
        <v>#DIV/0!</v>
      </c>
      <c r="G12" s="19">
        <f t="shared" si="2"/>
        <v>2023</v>
      </c>
      <c r="H12" s="59">
        <f t="shared" si="0"/>
        <v>0</v>
      </c>
      <c r="I12" s="58">
        <f t="shared" si="3"/>
        <v>0</v>
      </c>
      <c r="J12" s="59">
        <f t="shared" si="1"/>
        <v>0</v>
      </c>
      <c r="K12" s="58">
        <f t="shared" si="4"/>
        <v>0</v>
      </c>
    </row>
    <row r="13" spans="1:11" x14ac:dyDescent="0.25">
      <c r="A13" s="17" t="s">
        <v>81</v>
      </c>
      <c r="B13" s="61" t="e">
        <f>B7*(B17/(1-(1+B17)^(-E5))/(SUM(H4:H29)+SUM(J4:J29)))</f>
        <v>#DIV/0!</v>
      </c>
      <c r="G13" s="20">
        <f t="shared" si="2"/>
        <v>2024</v>
      </c>
      <c r="H13" s="59">
        <f t="shared" si="0"/>
        <v>0</v>
      </c>
      <c r="I13" s="60">
        <f t="shared" si="3"/>
        <v>0</v>
      </c>
      <c r="J13" s="59">
        <f t="shared" si="1"/>
        <v>0</v>
      </c>
      <c r="K13" s="60">
        <f t="shared" si="4"/>
        <v>0</v>
      </c>
    </row>
    <row r="14" spans="1:11" x14ac:dyDescent="0.25">
      <c r="G14" s="19">
        <f>G13+1</f>
        <v>2025</v>
      </c>
      <c r="H14" s="59">
        <f t="shared" si="0"/>
        <v>0</v>
      </c>
      <c r="I14" s="58">
        <f t="shared" si="3"/>
        <v>0</v>
      </c>
      <c r="J14" s="59">
        <f t="shared" si="1"/>
        <v>0</v>
      </c>
      <c r="K14" s="58">
        <f t="shared" si="4"/>
        <v>0</v>
      </c>
    </row>
    <row r="15" spans="1:11" x14ac:dyDescent="0.25">
      <c r="A15" s="22" t="s">
        <v>14</v>
      </c>
      <c r="G15" s="20">
        <f t="shared" si="2"/>
        <v>2026</v>
      </c>
      <c r="H15" s="59">
        <f t="shared" si="0"/>
        <v>0</v>
      </c>
      <c r="I15" s="60">
        <f t="shared" si="3"/>
        <v>0</v>
      </c>
      <c r="J15" s="59">
        <f t="shared" si="1"/>
        <v>0</v>
      </c>
      <c r="K15" s="60">
        <f t="shared" si="4"/>
        <v>0</v>
      </c>
    </row>
    <row r="16" spans="1:11" x14ac:dyDescent="0.25">
      <c r="A16" s="23" t="s">
        <v>15</v>
      </c>
      <c r="B16" s="34">
        <v>2015</v>
      </c>
      <c r="D16" s="22" t="s">
        <v>28</v>
      </c>
      <c r="E16" s="32" t="s">
        <v>22</v>
      </c>
      <c r="G16" s="19">
        <f t="shared" si="2"/>
        <v>2027</v>
      </c>
      <c r="H16" s="59">
        <f t="shared" si="0"/>
        <v>0</v>
      </c>
      <c r="I16" s="58">
        <f t="shared" si="3"/>
        <v>0</v>
      </c>
      <c r="J16" s="59">
        <f t="shared" si="1"/>
        <v>0</v>
      </c>
      <c r="K16" s="58">
        <f t="shared" si="4"/>
        <v>0</v>
      </c>
    </row>
    <row r="17" spans="1:11" x14ac:dyDescent="0.25">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x14ac:dyDescent="0.25">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x14ac:dyDescent="0.25">
      <c r="A19" s="23" t="s">
        <v>52</v>
      </c>
      <c r="B19" s="66">
        <f>IF($B$6=2,'Assumed Values'!C22,0)</f>
        <v>0.19106300000000001</v>
      </c>
      <c r="G19" s="20">
        <f t="shared" si="2"/>
        <v>2030</v>
      </c>
      <c r="H19" s="59">
        <f t="shared" si="0"/>
        <v>0</v>
      </c>
      <c r="I19" s="60">
        <f t="shared" si="3"/>
        <v>0</v>
      </c>
      <c r="J19" s="59">
        <f t="shared" si="1"/>
        <v>0</v>
      </c>
      <c r="K19" s="60">
        <f t="shared" si="4"/>
        <v>0</v>
      </c>
    </row>
    <row r="20" spans="1:11" x14ac:dyDescent="0.25">
      <c r="A20" s="23" t="s">
        <v>86</v>
      </c>
      <c r="B20" s="57">
        <f>'Assumed Values'!C19</f>
        <v>2083.1541467275511</v>
      </c>
      <c r="G20" s="19">
        <f t="shared" si="2"/>
        <v>2031</v>
      </c>
      <c r="H20" s="59">
        <f t="shared" si="0"/>
        <v>0</v>
      </c>
      <c r="I20" s="58">
        <f t="shared" si="3"/>
        <v>0</v>
      </c>
      <c r="J20" s="59">
        <f t="shared" si="1"/>
        <v>0</v>
      </c>
      <c r="K20" s="58">
        <f t="shared" si="4"/>
        <v>0</v>
      </c>
    </row>
    <row r="21" spans="1:11" x14ac:dyDescent="0.25">
      <c r="A21" s="23" t="s">
        <v>87</v>
      </c>
      <c r="B21" s="57">
        <f>'Assumed Values'!C20</f>
        <v>8208.6069103416321</v>
      </c>
      <c r="G21" s="20">
        <f t="shared" si="2"/>
        <v>2032</v>
      </c>
      <c r="H21" s="59">
        <f t="shared" si="0"/>
        <v>0</v>
      </c>
      <c r="I21" s="60">
        <f t="shared" si="3"/>
        <v>0</v>
      </c>
      <c r="J21" s="59">
        <f t="shared" si="1"/>
        <v>0</v>
      </c>
      <c r="K21" s="60">
        <f t="shared" si="4"/>
        <v>0</v>
      </c>
    </row>
    <row r="22" spans="1:11" x14ac:dyDescent="0.25">
      <c r="A22" s="23" t="s">
        <v>29</v>
      </c>
      <c r="B22" s="23">
        <v>260</v>
      </c>
      <c r="G22" s="19">
        <f t="shared" si="2"/>
        <v>2033</v>
      </c>
      <c r="H22" s="59">
        <f t="shared" si="0"/>
        <v>0</v>
      </c>
      <c r="I22" s="58">
        <f t="shared" si="3"/>
        <v>0</v>
      </c>
      <c r="J22" s="59">
        <f t="shared" si="1"/>
        <v>0</v>
      </c>
      <c r="K22" s="58">
        <f t="shared" si="4"/>
        <v>0</v>
      </c>
    </row>
    <row r="23" spans="1:11" x14ac:dyDescent="0.25">
      <c r="G23" s="20">
        <f t="shared" si="2"/>
        <v>2034</v>
      </c>
      <c r="H23" s="59">
        <f t="shared" si="0"/>
        <v>0</v>
      </c>
      <c r="I23" s="60">
        <f t="shared" si="3"/>
        <v>0</v>
      </c>
      <c r="J23" s="59">
        <f t="shared" si="1"/>
        <v>0</v>
      </c>
      <c r="K23" s="60">
        <f t="shared" si="4"/>
        <v>0</v>
      </c>
    </row>
    <row r="24" spans="1:11" x14ac:dyDescent="0.25">
      <c r="G24" s="19">
        <f t="shared" si="2"/>
        <v>2035</v>
      </c>
      <c r="H24" s="59">
        <f t="shared" si="0"/>
        <v>0</v>
      </c>
      <c r="I24" s="58">
        <f t="shared" si="3"/>
        <v>0</v>
      </c>
      <c r="J24" s="59">
        <f t="shared" si="1"/>
        <v>0</v>
      </c>
      <c r="K24" s="58">
        <f t="shared" si="4"/>
        <v>0</v>
      </c>
    </row>
    <row r="25" spans="1:11" x14ac:dyDescent="0.25">
      <c r="G25" s="20">
        <f t="shared" si="2"/>
        <v>2036</v>
      </c>
      <c r="H25" s="59">
        <f t="shared" ref="H25:H28" si="5">IF($G25&lt;($G$4+$E$5),$E$17,0)</f>
        <v>0</v>
      </c>
      <c r="I25" s="60">
        <f t="shared" ref="I25:I29" si="6">H25*$B$20/10^3</f>
        <v>0</v>
      </c>
      <c r="J25" s="59">
        <f t="shared" ref="J25:J28" si="7">IF($G25&lt;($G$4+$E$5),$E$18,0)</f>
        <v>0</v>
      </c>
      <c r="K25" s="60">
        <f t="shared" ref="K25:K29" si="8">J25*$B$21/10^3</f>
        <v>0</v>
      </c>
    </row>
    <row r="26" spans="1:11" x14ac:dyDescent="0.25">
      <c r="G26" s="19">
        <f t="shared" si="2"/>
        <v>2037</v>
      </c>
      <c r="H26" s="59">
        <f t="shared" si="5"/>
        <v>0</v>
      </c>
      <c r="I26" s="58">
        <f t="shared" si="6"/>
        <v>0</v>
      </c>
      <c r="J26" s="59">
        <f t="shared" si="7"/>
        <v>0</v>
      </c>
      <c r="K26" s="58">
        <f t="shared" si="8"/>
        <v>0</v>
      </c>
    </row>
    <row r="27" spans="1:11" x14ac:dyDescent="0.25">
      <c r="G27" s="20">
        <f t="shared" si="2"/>
        <v>2038</v>
      </c>
      <c r="H27" s="59">
        <f t="shared" si="5"/>
        <v>0</v>
      </c>
      <c r="I27" s="60">
        <f t="shared" si="6"/>
        <v>0</v>
      </c>
      <c r="J27" s="59">
        <f t="shared" si="7"/>
        <v>0</v>
      </c>
      <c r="K27" s="60">
        <f t="shared" si="8"/>
        <v>0</v>
      </c>
    </row>
    <row r="28" spans="1:11" x14ac:dyDescent="0.25">
      <c r="G28" s="19">
        <f t="shared" si="2"/>
        <v>2039</v>
      </c>
      <c r="H28" s="59">
        <f t="shared" si="5"/>
        <v>0</v>
      </c>
      <c r="I28" s="58">
        <f t="shared" si="6"/>
        <v>0</v>
      </c>
      <c r="J28" s="59">
        <f t="shared" si="7"/>
        <v>0</v>
      </c>
      <c r="K28" s="58">
        <f t="shared" si="8"/>
        <v>0</v>
      </c>
    </row>
    <row r="29" spans="1:11" x14ac:dyDescent="0.25">
      <c r="G29" s="20">
        <f t="shared" si="2"/>
        <v>2040</v>
      </c>
      <c r="H29" s="59">
        <f>IF($G29&lt;($G$4+$E$5),$E$17,0)</f>
        <v>0</v>
      </c>
      <c r="I29" s="60">
        <f t="shared" si="6"/>
        <v>0</v>
      </c>
      <c r="J29" s="59">
        <f>IF($G29&lt;($G$4+$E$5),$E$18,0)</f>
        <v>0</v>
      </c>
      <c r="K29" s="60">
        <f t="shared" si="8"/>
        <v>0</v>
      </c>
    </row>
    <row r="31" spans="1:11" x14ac:dyDescent="0.25">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topLeftCell="A4" zoomScale="85" zoomScaleNormal="85" workbookViewId="0">
      <selection activeCell="E20" sqref="E20"/>
    </sheetView>
  </sheetViews>
  <sheetFormatPr defaultRowHeight="15" x14ac:dyDescent="0.25"/>
  <cols>
    <col min="1" max="1" width="45.140625" bestFit="1" customWidth="1"/>
    <col min="2" max="2" width="14.7109375" customWidth="1"/>
    <col min="3" max="3" width="5.28515625" customWidth="1"/>
    <col min="4" max="4" width="33.7109375" customWidth="1"/>
    <col min="5" max="5" width="8.7109375" customWidth="1"/>
    <col min="6" max="6" width="9.140625" customWidth="1"/>
    <col min="7" max="7" width="8.7109375" customWidth="1"/>
    <col min="8" max="8" width="10.85546875" customWidth="1"/>
  </cols>
  <sheetData>
    <row r="3" spans="1:8" ht="18.75" x14ac:dyDescent="0.3">
      <c r="A3" s="92" t="s">
        <v>138</v>
      </c>
      <c r="B3" s="93"/>
      <c r="C3" s="93"/>
      <c r="D3" s="93"/>
      <c r="E3" s="93"/>
      <c r="F3" s="93"/>
      <c r="G3" s="93"/>
      <c r="H3" s="93"/>
    </row>
    <row r="5" spans="1:8" x14ac:dyDescent="0.25">
      <c r="A5" s="14" t="s">
        <v>309</v>
      </c>
    </row>
    <row r="6" spans="1:8" ht="60" x14ac:dyDescent="0.25">
      <c r="A6" s="12" t="s">
        <v>321</v>
      </c>
      <c r="B6" s="117" t="s">
        <v>322</v>
      </c>
      <c r="D6" s="115" t="s">
        <v>307</v>
      </c>
      <c r="E6" s="116"/>
      <c r="F6" s="116"/>
    </row>
    <row r="7" spans="1:8" x14ac:dyDescent="0.25">
      <c r="A7" s="12" t="s">
        <v>118</v>
      </c>
      <c r="B7" s="13">
        <v>300468</v>
      </c>
    </row>
    <row r="8" spans="1:8" x14ac:dyDescent="0.25">
      <c r="A8" s="12" t="s">
        <v>119</v>
      </c>
      <c r="B8" s="13"/>
    </row>
    <row r="9" spans="1:8" x14ac:dyDescent="0.25">
      <c r="D9" s="110" t="s">
        <v>300</v>
      </c>
      <c r="E9" s="111">
        <v>2011</v>
      </c>
      <c r="F9" s="111">
        <v>2012</v>
      </c>
      <c r="G9" s="111">
        <v>2013</v>
      </c>
      <c r="H9" s="111" t="s">
        <v>304</v>
      </c>
    </row>
    <row r="10" spans="1:8" x14ac:dyDescent="0.25">
      <c r="A10" s="14" t="s">
        <v>308</v>
      </c>
      <c r="D10" s="113" t="s">
        <v>145</v>
      </c>
      <c r="E10" s="114">
        <v>0</v>
      </c>
      <c r="F10" s="114">
        <v>1</v>
      </c>
      <c r="G10" s="114">
        <v>0</v>
      </c>
      <c r="H10" s="112">
        <f>AVERAGE(E10:G10)</f>
        <v>0.33333333333333331</v>
      </c>
    </row>
    <row r="11" spans="1:8" x14ac:dyDescent="0.25">
      <c r="A11" s="12" t="s">
        <v>318</v>
      </c>
      <c r="B11" s="68">
        <v>2018</v>
      </c>
      <c r="D11" s="113" t="s">
        <v>151</v>
      </c>
      <c r="E11" s="114">
        <v>0</v>
      </c>
      <c r="F11" s="114">
        <v>1</v>
      </c>
      <c r="G11" s="114">
        <v>1</v>
      </c>
      <c r="H11" s="112">
        <f>AVERAGE(E11:G11)</f>
        <v>0.66666666666666663</v>
      </c>
    </row>
    <row r="12" spans="1:8" x14ac:dyDescent="0.25">
      <c r="A12" s="12" t="s">
        <v>320</v>
      </c>
      <c r="B12" s="108">
        <v>0.33250000000000002</v>
      </c>
      <c r="D12" s="113" t="s">
        <v>150</v>
      </c>
      <c r="E12" s="114">
        <v>2</v>
      </c>
      <c r="F12" s="114">
        <v>2</v>
      </c>
      <c r="G12" s="114">
        <v>2</v>
      </c>
      <c r="H12" s="112">
        <f t="shared" ref="H12:H15" si="0">AVERAGE(E12:G12)</f>
        <v>2</v>
      </c>
    </row>
    <row r="13" spans="1:8" x14ac:dyDescent="0.25">
      <c r="A13" s="12" t="s">
        <v>319</v>
      </c>
      <c r="B13" s="68">
        <v>40</v>
      </c>
      <c r="D13" s="113" t="s">
        <v>149</v>
      </c>
      <c r="E13" s="114">
        <v>16</v>
      </c>
      <c r="F13" s="114">
        <v>4</v>
      </c>
      <c r="G13" s="114">
        <v>9</v>
      </c>
      <c r="H13" s="112">
        <f t="shared" si="0"/>
        <v>9.6666666666666661</v>
      </c>
    </row>
    <row r="14" spans="1:8" x14ac:dyDescent="0.25">
      <c r="D14" s="113" t="s">
        <v>148</v>
      </c>
      <c r="E14" s="114">
        <v>105</v>
      </c>
      <c r="F14" s="114">
        <v>67</v>
      </c>
      <c r="G14" s="114">
        <v>83</v>
      </c>
      <c r="H14" s="112">
        <f t="shared" si="0"/>
        <v>85</v>
      </c>
    </row>
    <row r="15" spans="1:8" x14ac:dyDescent="0.25">
      <c r="A15" s="14" t="s">
        <v>120</v>
      </c>
      <c r="B15" s="15" t="s">
        <v>22</v>
      </c>
      <c r="D15" s="113" t="s">
        <v>147</v>
      </c>
      <c r="E15" s="114">
        <v>5</v>
      </c>
      <c r="F15" s="114">
        <v>5</v>
      </c>
      <c r="G15" s="114">
        <v>4</v>
      </c>
      <c r="H15" s="112">
        <f t="shared" si="0"/>
        <v>4.666666666666667</v>
      </c>
    </row>
    <row r="16" spans="1:8" x14ac:dyDescent="0.25">
      <c r="A16" s="12" t="s">
        <v>127</v>
      </c>
      <c r="B16" s="16">
        <v>21000</v>
      </c>
    </row>
    <row r="17" spans="1:8" x14ac:dyDescent="0.25">
      <c r="A17" s="12" t="s">
        <v>128</v>
      </c>
      <c r="B17" s="16">
        <v>26200</v>
      </c>
    </row>
    <row r="18" spans="1:8" x14ac:dyDescent="0.25">
      <c r="A18" s="96" t="s">
        <v>112</v>
      </c>
      <c r="B18" s="97">
        <v>24500</v>
      </c>
    </row>
    <row r="19" spans="1:8" x14ac:dyDescent="0.25">
      <c r="A19" s="96" t="s">
        <v>113</v>
      </c>
      <c r="B19" s="97">
        <v>26200</v>
      </c>
    </row>
    <row r="20" spans="1:8" x14ac:dyDescent="0.25">
      <c r="A20" s="12" t="s">
        <v>69</v>
      </c>
      <c r="B20" s="16">
        <v>28600</v>
      </c>
    </row>
    <row r="21" spans="1:8" x14ac:dyDescent="0.25">
      <c r="A21" s="12" t="s">
        <v>70</v>
      </c>
      <c r="B21" s="16">
        <v>26200</v>
      </c>
    </row>
    <row r="26" spans="1:8" ht="18.75" x14ac:dyDescent="0.3">
      <c r="A26" s="92" t="s">
        <v>139</v>
      </c>
      <c r="B26" s="93"/>
      <c r="C26" s="93"/>
      <c r="D26" s="93"/>
      <c r="E26" s="93"/>
      <c r="F26" s="93"/>
      <c r="G26" s="93"/>
      <c r="H26" s="93"/>
    </row>
    <row r="28" spans="1:8" x14ac:dyDescent="0.25">
      <c r="A28" s="18" t="s">
        <v>137</v>
      </c>
    </row>
    <row r="29" spans="1:8" x14ac:dyDescent="0.25">
      <c r="A29" s="17" t="s">
        <v>305</v>
      </c>
      <c r="B29" s="65">
        <f>NPV(7%,Value_of_Delay_Savings__2015_____000s)/(1+7%)^(2018-2015-1)</f>
        <v>18404.686088889543</v>
      </c>
      <c r="C29" s="95"/>
    </row>
    <row r="30" spans="1:8" x14ac:dyDescent="0.25">
      <c r="A30" s="17" t="s">
        <v>306</v>
      </c>
      <c r="B30" s="65">
        <f>NPV(3%,Value_of_Delay_Savings__2015_____000s)/(1+3%)^(2018-2015-1)</f>
        <v>28314.033774240812</v>
      </c>
      <c r="C30" s="95"/>
    </row>
    <row r="32" spans="1:8" x14ac:dyDescent="0.25">
      <c r="A32" t="s">
        <v>323</v>
      </c>
      <c r="B32" s="118" t="s">
        <v>325</v>
      </c>
      <c r="D32" t="s">
        <v>326</v>
      </c>
    </row>
    <row r="33" spans="1:4" x14ac:dyDescent="0.25">
      <c r="A33" t="s">
        <v>324</v>
      </c>
      <c r="B33" s="120">
        <v>0.11</v>
      </c>
      <c r="D33">
        <v>0.89</v>
      </c>
    </row>
    <row r="34" spans="1:4" x14ac:dyDescent="0.25">
      <c r="A34" t="s">
        <v>327</v>
      </c>
      <c r="B34" s="120">
        <v>0.25</v>
      </c>
      <c r="D34">
        <v>0.75</v>
      </c>
    </row>
    <row r="35" spans="1:4" x14ac:dyDescent="0.25">
      <c r="A35" t="s">
        <v>328</v>
      </c>
      <c r="B35" s="119">
        <f>1-(D33*D34)</f>
        <v>0.33250000000000002</v>
      </c>
    </row>
    <row r="38" spans="1:4"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4</xdr:col>
                    <xdr:colOff>0</xdr:colOff>
                    <xdr:row>5</xdr:row>
                    <xdr:rowOff>28575</xdr:rowOff>
                  </from>
                  <to>
                    <xdr:col>4</xdr:col>
                    <xdr:colOff>581025</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4</xdr:col>
                    <xdr:colOff>0</xdr:colOff>
                    <xdr:row>5</xdr:row>
                    <xdr:rowOff>19050</xdr:rowOff>
                  </from>
                  <to>
                    <xdr:col>4</xdr:col>
                    <xdr:colOff>581025</xdr:colOff>
                    <xdr:row>5</xdr:row>
                    <xdr:rowOff>180975</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EZ5"/>
  <sheetViews>
    <sheetView topLeftCell="EB1" workbookViewId="0">
      <selection activeCell="EJ24" sqref="EJ24"/>
    </sheetView>
  </sheetViews>
  <sheetFormatPr defaultRowHeight="15" x14ac:dyDescent="0.25"/>
  <cols>
    <col min="38" max="38" width="24" bestFit="1" customWidth="1"/>
  </cols>
  <sheetData>
    <row r="1" spans="1:156" x14ac:dyDescent="0.25">
      <c r="A1" t="s">
        <v>299</v>
      </c>
      <c r="B1" t="s">
        <v>298</v>
      </c>
      <c r="C1" t="s">
        <v>297</v>
      </c>
      <c r="D1" t="s">
        <v>296</v>
      </c>
      <c r="E1" t="s">
        <v>295</v>
      </c>
      <c r="F1" t="s">
        <v>294</v>
      </c>
      <c r="G1" t="s">
        <v>293</v>
      </c>
      <c r="H1" t="s">
        <v>292</v>
      </c>
      <c r="I1" t="s">
        <v>291</v>
      </c>
      <c r="J1" t="s">
        <v>290</v>
      </c>
      <c r="K1" t="s">
        <v>289</v>
      </c>
      <c r="L1" t="s">
        <v>288</v>
      </c>
      <c r="M1" t="s">
        <v>287</v>
      </c>
      <c r="N1" t="s">
        <v>286</v>
      </c>
      <c r="O1" t="s">
        <v>285</v>
      </c>
      <c r="P1" t="s">
        <v>284</v>
      </c>
      <c r="Q1" t="s">
        <v>283</v>
      </c>
      <c r="R1" t="s">
        <v>282</v>
      </c>
      <c r="S1" t="s">
        <v>281</v>
      </c>
      <c r="T1" t="s">
        <v>280</v>
      </c>
      <c r="U1" t="s">
        <v>279</v>
      </c>
      <c r="V1" t="s">
        <v>278</v>
      </c>
      <c r="W1" t="s">
        <v>277</v>
      </c>
      <c r="X1" t="s">
        <v>276</v>
      </c>
      <c r="Y1" t="s">
        <v>275</v>
      </c>
      <c r="Z1" t="s">
        <v>274</v>
      </c>
      <c r="AA1" t="s">
        <v>273</v>
      </c>
      <c r="AB1" t="s">
        <v>272</v>
      </c>
      <c r="AC1" t="s">
        <v>271</v>
      </c>
      <c r="AD1" t="s">
        <v>270</v>
      </c>
      <c r="AE1" t="s">
        <v>269</v>
      </c>
      <c r="AF1" t="s">
        <v>268</v>
      </c>
      <c r="AG1" t="s">
        <v>267</v>
      </c>
      <c r="AH1" t="s">
        <v>266</v>
      </c>
      <c r="AI1" t="s">
        <v>265</v>
      </c>
      <c r="AJ1" t="s">
        <v>264</v>
      </c>
      <c r="AK1" t="s">
        <v>263</v>
      </c>
      <c r="AL1" t="s">
        <v>262</v>
      </c>
      <c r="AM1" t="s">
        <v>261</v>
      </c>
      <c r="AN1" t="s">
        <v>260</v>
      </c>
      <c r="AO1" t="s">
        <v>259</v>
      </c>
      <c r="AP1" t="s">
        <v>258</v>
      </c>
      <c r="AQ1" t="s">
        <v>257</v>
      </c>
      <c r="AR1" t="s">
        <v>256</v>
      </c>
      <c r="AS1" t="s">
        <v>255</v>
      </c>
      <c r="AT1" t="s">
        <v>254</v>
      </c>
      <c r="AU1" t="s">
        <v>253</v>
      </c>
      <c r="AV1" t="s">
        <v>252</v>
      </c>
      <c r="AW1" t="s">
        <v>251</v>
      </c>
      <c r="AX1" t="s">
        <v>250</v>
      </c>
      <c r="AY1" t="s">
        <v>249</v>
      </c>
      <c r="AZ1" t="s">
        <v>248</v>
      </c>
      <c r="BA1" t="s">
        <v>247</v>
      </c>
      <c r="BB1" t="s">
        <v>246</v>
      </c>
      <c r="BC1" t="s">
        <v>245</v>
      </c>
      <c r="BD1" t="s">
        <v>244</v>
      </c>
      <c r="BE1" t="s">
        <v>243</v>
      </c>
      <c r="BF1" t="s">
        <v>242</v>
      </c>
      <c r="BG1" t="s">
        <v>241</v>
      </c>
      <c r="BH1" t="s">
        <v>240</v>
      </c>
      <c r="BI1" t="s">
        <v>239</v>
      </c>
      <c r="BJ1" t="s">
        <v>238</v>
      </c>
      <c r="BK1" t="s">
        <v>237</v>
      </c>
      <c r="BL1" t="s">
        <v>236</v>
      </c>
      <c r="BM1" t="s">
        <v>235</v>
      </c>
      <c r="BN1" t="s">
        <v>234</v>
      </c>
      <c r="BO1" t="s">
        <v>233</v>
      </c>
      <c r="BP1" t="s">
        <v>232</v>
      </c>
      <c r="BQ1" t="s">
        <v>231</v>
      </c>
      <c r="BR1" t="s">
        <v>230</v>
      </c>
      <c r="BS1" t="s">
        <v>229</v>
      </c>
      <c r="BT1" t="s">
        <v>228</v>
      </c>
      <c r="BU1" t="s">
        <v>227</v>
      </c>
      <c r="BV1" t="s">
        <v>226</v>
      </c>
      <c r="BW1" t="s">
        <v>225</v>
      </c>
      <c r="BX1" t="s">
        <v>224</v>
      </c>
      <c r="BY1" t="s">
        <v>223</v>
      </c>
      <c r="BZ1" t="s">
        <v>222</v>
      </c>
      <c r="CA1" t="s">
        <v>221</v>
      </c>
      <c r="CB1" t="s">
        <v>220</v>
      </c>
      <c r="CC1" t="s">
        <v>219</v>
      </c>
      <c r="CD1" t="s">
        <v>218</v>
      </c>
      <c r="CE1" t="s">
        <v>217</v>
      </c>
      <c r="CF1" t="s">
        <v>216</v>
      </c>
      <c r="CG1" t="s">
        <v>215</v>
      </c>
      <c r="CH1" t="s">
        <v>214</v>
      </c>
      <c r="CI1" t="s">
        <v>213</v>
      </c>
      <c r="CJ1" t="s">
        <v>212</v>
      </c>
      <c r="CK1" t="s">
        <v>211</v>
      </c>
      <c r="CL1" t="s">
        <v>210</v>
      </c>
      <c r="CM1" t="s">
        <v>209</v>
      </c>
      <c r="CN1" t="s">
        <v>208</v>
      </c>
      <c r="CO1" t="s">
        <v>207</v>
      </c>
      <c r="CP1" t="s">
        <v>206</v>
      </c>
      <c r="CQ1" t="s">
        <v>205</v>
      </c>
      <c r="CR1" t="s">
        <v>204</v>
      </c>
      <c r="CS1" t="s">
        <v>203</v>
      </c>
      <c r="CT1" t="s">
        <v>202</v>
      </c>
      <c r="CU1" t="s">
        <v>201</v>
      </c>
      <c r="CV1" t="s">
        <v>200</v>
      </c>
      <c r="CW1" t="s">
        <v>199</v>
      </c>
      <c r="CX1" t="s">
        <v>198</v>
      </c>
      <c r="CY1" t="s">
        <v>197</v>
      </c>
      <c r="CZ1" t="s">
        <v>196</v>
      </c>
      <c r="DA1" t="s">
        <v>195</v>
      </c>
      <c r="DB1" t="s">
        <v>194</v>
      </c>
      <c r="DC1" t="s">
        <v>193</v>
      </c>
      <c r="DD1" t="s">
        <v>192</v>
      </c>
      <c r="DE1" t="s">
        <v>191</v>
      </c>
      <c r="DF1" t="s">
        <v>190</v>
      </c>
      <c r="DG1" t="s">
        <v>189</v>
      </c>
      <c r="DH1" t="s">
        <v>188</v>
      </c>
      <c r="DI1" t="s">
        <v>187</v>
      </c>
      <c r="DJ1" t="s">
        <v>186</v>
      </c>
      <c r="DK1" t="s">
        <v>185</v>
      </c>
      <c r="DL1" t="s">
        <v>184</v>
      </c>
      <c r="DM1" t="s">
        <v>183</v>
      </c>
      <c r="DN1" t="s">
        <v>182</v>
      </c>
      <c r="DO1" t="s">
        <v>181</v>
      </c>
      <c r="DP1" t="s">
        <v>180</v>
      </c>
      <c r="DQ1" t="s">
        <v>179</v>
      </c>
      <c r="DR1" t="s">
        <v>178</v>
      </c>
      <c r="DS1" t="s">
        <v>177</v>
      </c>
      <c r="DT1" t="s">
        <v>176</v>
      </c>
      <c r="DU1" t="s">
        <v>175</v>
      </c>
      <c r="DV1" t="s">
        <v>174</v>
      </c>
      <c r="DW1" t="s">
        <v>173</v>
      </c>
      <c r="DX1" t="s">
        <v>172</v>
      </c>
      <c r="DY1" t="s">
        <v>171</v>
      </c>
      <c r="DZ1" t="s">
        <v>170</v>
      </c>
      <c r="EA1" t="s">
        <v>169</v>
      </c>
      <c r="EB1" t="s">
        <v>168</v>
      </c>
      <c r="EC1" t="s">
        <v>167</v>
      </c>
      <c r="ED1" t="s">
        <v>166</v>
      </c>
      <c r="EE1" t="s">
        <v>165</v>
      </c>
      <c r="EF1" t="s">
        <v>164</v>
      </c>
      <c r="EG1" t="s">
        <v>163</v>
      </c>
      <c r="EH1" t="s">
        <v>162</v>
      </c>
      <c r="EI1" t="s">
        <v>161</v>
      </c>
      <c r="EJ1" t="s">
        <v>160</v>
      </c>
      <c r="EK1" t="s">
        <v>159</v>
      </c>
      <c r="EL1" t="s">
        <v>158</v>
      </c>
      <c r="EM1" t="s">
        <v>157</v>
      </c>
      <c r="EN1" t="s">
        <v>156</v>
      </c>
      <c r="EO1" t="s">
        <v>155</v>
      </c>
      <c r="EP1" t="s">
        <v>154</v>
      </c>
      <c r="EQ1" t="s">
        <v>153</v>
      </c>
      <c r="ER1" t="s">
        <v>152</v>
      </c>
      <c r="ES1" t="s">
        <v>151</v>
      </c>
      <c r="ET1" t="s">
        <v>150</v>
      </c>
      <c r="EU1" t="s">
        <v>149</v>
      </c>
      <c r="EV1" t="s">
        <v>148</v>
      </c>
      <c r="EW1" t="s">
        <v>147</v>
      </c>
      <c r="EX1" t="s">
        <v>146</v>
      </c>
      <c r="EY1" t="s">
        <v>145</v>
      </c>
      <c r="EZ1" t="s">
        <v>26</v>
      </c>
    </row>
    <row r="2" spans="1:156" x14ac:dyDescent="0.25">
      <c r="B2" t="s">
        <v>141</v>
      </c>
      <c r="C2" t="s">
        <v>141</v>
      </c>
      <c r="D2" t="s">
        <v>141</v>
      </c>
      <c r="E2" t="s">
        <v>141</v>
      </c>
      <c r="F2" t="s">
        <v>141</v>
      </c>
      <c r="G2" t="s">
        <v>141</v>
      </c>
      <c r="H2" t="s">
        <v>141</v>
      </c>
      <c r="I2" s="99"/>
      <c r="J2" s="98"/>
      <c r="N2" t="s">
        <v>142</v>
      </c>
      <c r="O2" t="s">
        <v>142</v>
      </c>
      <c r="R2">
        <v>15</v>
      </c>
      <c r="U2">
        <v>1</v>
      </c>
      <c r="Y2" t="s">
        <v>143</v>
      </c>
      <c r="Z2" t="s">
        <v>141</v>
      </c>
      <c r="AA2" t="s">
        <v>141</v>
      </c>
      <c r="AB2">
        <v>45</v>
      </c>
      <c r="AC2" t="s">
        <v>141</v>
      </c>
      <c r="AD2" t="s">
        <v>141</v>
      </c>
      <c r="AE2" t="s">
        <v>141</v>
      </c>
      <c r="AF2">
        <v>15</v>
      </c>
      <c r="AS2">
        <v>11</v>
      </c>
      <c r="AT2">
        <v>3</v>
      </c>
      <c r="AU2">
        <v>0</v>
      </c>
      <c r="AW2">
        <v>1</v>
      </c>
      <c r="AX2">
        <v>1</v>
      </c>
      <c r="AY2">
        <v>1</v>
      </c>
      <c r="BA2">
        <v>8</v>
      </c>
      <c r="BB2">
        <v>2</v>
      </c>
      <c r="BC2">
        <v>4</v>
      </c>
      <c r="BD2">
        <v>30</v>
      </c>
      <c r="BE2">
        <v>64</v>
      </c>
      <c r="BF2">
        <v>54</v>
      </c>
      <c r="BG2">
        <v>1</v>
      </c>
      <c r="BH2">
        <v>4</v>
      </c>
      <c r="BI2">
        <v>1</v>
      </c>
      <c r="BJ2">
        <v>21</v>
      </c>
      <c r="BK2">
        <v>21</v>
      </c>
      <c r="BL2">
        <v>101</v>
      </c>
      <c r="BM2">
        <v>1666</v>
      </c>
      <c r="CI2" t="s">
        <v>142</v>
      </c>
      <c r="CJ2" t="s">
        <v>141</v>
      </c>
      <c r="CK2" t="s">
        <v>142</v>
      </c>
      <c r="CL2">
        <v>1</v>
      </c>
      <c r="CM2">
        <v>0</v>
      </c>
      <c r="CN2" t="s">
        <v>142</v>
      </c>
      <c r="CO2" t="s">
        <v>144</v>
      </c>
      <c r="ES2">
        <v>1</v>
      </c>
      <c r="ET2">
        <v>0</v>
      </c>
      <c r="EU2">
        <v>0</v>
      </c>
      <c r="EV2">
        <v>3</v>
      </c>
      <c r="EW2">
        <v>0</v>
      </c>
      <c r="EX2">
        <v>1</v>
      </c>
      <c r="EY2">
        <v>0</v>
      </c>
      <c r="EZ2">
        <v>2013</v>
      </c>
    </row>
    <row r="3" spans="1:156" x14ac:dyDescent="0.25">
      <c r="B3" t="s">
        <v>141</v>
      </c>
      <c r="C3" t="s">
        <v>141</v>
      </c>
      <c r="D3" t="s">
        <v>141</v>
      </c>
      <c r="E3" t="s">
        <v>141</v>
      </c>
      <c r="F3" t="s">
        <v>141</v>
      </c>
      <c r="G3" t="s">
        <v>141</v>
      </c>
      <c r="H3" t="s">
        <v>141</v>
      </c>
      <c r="I3" s="99"/>
      <c r="J3" s="98"/>
      <c r="N3" t="s">
        <v>142</v>
      </c>
      <c r="O3" t="s">
        <v>142</v>
      </c>
      <c r="R3">
        <v>19</v>
      </c>
      <c r="U3">
        <v>1</v>
      </c>
      <c r="Y3" t="s">
        <v>143</v>
      </c>
      <c r="Z3" t="s">
        <v>141</v>
      </c>
      <c r="AA3" t="s">
        <v>141</v>
      </c>
      <c r="AB3">
        <v>45</v>
      </c>
      <c r="AC3" t="s">
        <v>141</v>
      </c>
      <c r="AD3" t="s">
        <v>141</v>
      </c>
      <c r="AE3" t="s">
        <v>141</v>
      </c>
      <c r="AF3">
        <v>19</v>
      </c>
      <c r="AS3">
        <v>11</v>
      </c>
      <c r="AT3">
        <v>1</v>
      </c>
      <c r="AU3">
        <v>0</v>
      </c>
      <c r="AW3">
        <v>1</v>
      </c>
      <c r="AX3">
        <v>1</v>
      </c>
      <c r="AY3">
        <v>1</v>
      </c>
      <c r="BA3">
        <v>8</v>
      </c>
      <c r="BB3">
        <v>2</v>
      </c>
      <c r="BC3">
        <v>4</v>
      </c>
      <c r="BD3">
        <v>34</v>
      </c>
      <c r="BE3">
        <v>64</v>
      </c>
      <c r="BF3">
        <v>54</v>
      </c>
      <c r="BG3">
        <v>1</v>
      </c>
      <c r="BH3">
        <v>4</v>
      </c>
      <c r="BI3">
        <v>1</v>
      </c>
      <c r="BJ3">
        <v>21</v>
      </c>
      <c r="BK3">
        <v>21</v>
      </c>
      <c r="BL3">
        <v>101</v>
      </c>
      <c r="BM3">
        <v>1666</v>
      </c>
      <c r="CI3" t="s">
        <v>142</v>
      </c>
      <c r="CJ3" t="s">
        <v>141</v>
      </c>
      <c r="CK3" t="s">
        <v>142</v>
      </c>
      <c r="CL3">
        <v>5</v>
      </c>
      <c r="CM3">
        <v>0</v>
      </c>
      <c r="CN3" t="s">
        <v>142</v>
      </c>
      <c r="CO3" t="s">
        <v>140</v>
      </c>
      <c r="ES3">
        <v>0</v>
      </c>
      <c r="ET3">
        <v>0</v>
      </c>
      <c r="EU3">
        <v>0</v>
      </c>
      <c r="EV3">
        <v>2</v>
      </c>
      <c r="EW3">
        <v>0</v>
      </c>
      <c r="EX3">
        <v>0</v>
      </c>
      <c r="EY3">
        <v>0</v>
      </c>
      <c r="EZ3">
        <v>2011</v>
      </c>
    </row>
    <row r="4" spans="1:156" x14ac:dyDescent="0.25">
      <c r="B4" t="s">
        <v>141</v>
      </c>
      <c r="C4" t="s">
        <v>141</v>
      </c>
      <c r="D4" t="s">
        <v>141</v>
      </c>
      <c r="E4" t="s">
        <v>141</v>
      </c>
      <c r="F4" t="s">
        <v>141</v>
      </c>
      <c r="G4" t="s">
        <v>141</v>
      </c>
      <c r="H4" t="s">
        <v>141</v>
      </c>
      <c r="I4" s="99"/>
      <c r="J4" s="98"/>
      <c r="N4" t="s">
        <v>142</v>
      </c>
      <c r="O4" t="s">
        <v>142</v>
      </c>
      <c r="R4">
        <v>19</v>
      </c>
      <c r="U4">
        <v>1</v>
      </c>
      <c r="Y4" t="s">
        <v>143</v>
      </c>
      <c r="Z4" t="s">
        <v>141</v>
      </c>
      <c r="AA4" t="s">
        <v>141</v>
      </c>
      <c r="AB4">
        <v>45</v>
      </c>
      <c r="AC4" t="s">
        <v>141</v>
      </c>
      <c r="AD4" t="s">
        <v>141</v>
      </c>
      <c r="AE4" t="s">
        <v>142</v>
      </c>
      <c r="AF4">
        <v>19</v>
      </c>
      <c r="AI4">
        <v>1</v>
      </c>
      <c r="AJ4">
        <v>8400</v>
      </c>
      <c r="AS4">
        <v>11</v>
      </c>
      <c r="AT4">
        <v>1</v>
      </c>
      <c r="AU4">
        <v>2</v>
      </c>
      <c r="AW4">
        <v>1</v>
      </c>
      <c r="AX4">
        <v>1</v>
      </c>
      <c r="AY4">
        <v>11</v>
      </c>
      <c r="BA4">
        <v>8</v>
      </c>
      <c r="BB4">
        <v>2</v>
      </c>
      <c r="BC4">
        <v>2</v>
      </c>
      <c r="BD4">
        <v>30</v>
      </c>
      <c r="BE4">
        <v>64</v>
      </c>
      <c r="BF4">
        <v>54</v>
      </c>
      <c r="BG4">
        <v>1</v>
      </c>
      <c r="BH4">
        <v>4</v>
      </c>
      <c r="BI4">
        <v>1</v>
      </c>
      <c r="BJ4">
        <v>21</v>
      </c>
      <c r="BK4">
        <v>21</v>
      </c>
      <c r="BL4">
        <v>101</v>
      </c>
      <c r="BM4">
        <v>1666</v>
      </c>
      <c r="CI4" t="s">
        <v>142</v>
      </c>
      <c r="CJ4" t="s">
        <v>141</v>
      </c>
      <c r="CK4" t="s">
        <v>142</v>
      </c>
      <c r="CL4">
        <v>2</v>
      </c>
      <c r="CM4">
        <v>0</v>
      </c>
      <c r="CN4" t="s">
        <v>141</v>
      </c>
      <c r="CO4" t="s">
        <v>144</v>
      </c>
      <c r="ES4">
        <v>0</v>
      </c>
      <c r="ET4">
        <v>3</v>
      </c>
      <c r="EU4">
        <v>0</v>
      </c>
      <c r="EV4">
        <v>0</v>
      </c>
      <c r="EW4">
        <v>0</v>
      </c>
      <c r="EX4">
        <v>3</v>
      </c>
      <c r="EY4">
        <v>0</v>
      </c>
      <c r="EZ4">
        <v>2012</v>
      </c>
    </row>
    <row r="5" spans="1:156" x14ac:dyDescent="0.25">
      <c r="B5" t="s">
        <v>141</v>
      </c>
      <c r="C5" t="s">
        <v>141</v>
      </c>
      <c r="D5" t="s">
        <v>141</v>
      </c>
      <c r="E5" t="s">
        <v>141</v>
      </c>
      <c r="F5" t="s">
        <v>141</v>
      </c>
      <c r="G5" t="s">
        <v>141</v>
      </c>
      <c r="H5" t="s">
        <v>141</v>
      </c>
      <c r="I5" s="99"/>
      <c r="J5" s="98"/>
      <c r="N5" t="s">
        <v>142</v>
      </c>
      <c r="O5" t="s">
        <v>142</v>
      </c>
      <c r="R5">
        <v>19</v>
      </c>
      <c r="U5">
        <v>1</v>
      </c>
      <c r="Y5" t="s">
        <v>143</v>
      </c>
      <c r="Z5" t="s">
        <v>141</v>
      </c>
      <c r="AA5" t="s">
        <v>141</v>
      </c>
      <c r="AB5">
        <v>45</v>
      </c>
      <c r="AC5" t="s">
        <v>141</v>
      </c>
      <c r="AD5" t="s">
        <v>141</v>
      </c>
      <c r="AE5" t="s">
        <v>142</v>
      </c>
      <c r="AF5">
        <v>19</v>
      </c>
      <c r="AI5">
        <v>1</v>
      </c>
      <c r="AJ5">
        <v>8400</v>
      </c>
      <c r="AS5">
        <v>12</v>
      </c>
      <c r="AT5">
        <v>1</v>
      </c>
      <c r="AU5">
        <v>2</v>
      </c>
      <c r="AW5">
        <v>1</v>
      </c>
      <c r="AX5">
        <v>2</v>
      </c>
      <c r="AY5">
        <v>11</v>
      </c>
      <c r="BA5">
        <v>8</v>
      </c>
      <c r="BB5">
        <v>2</v>
      </c>
      <c r="BC5">
        <v>2</v>
      </c>
      <c r="BD5">
        <v>22</v>
      </c>
      <c r="BE5">
        <v>64</v>
      </c>
      <c r="BF5">
        <v>47</v>
      </c>
      <c r="BG5">
        <v>1</v>
      </c>
      <c r="BH5">
        <v>4</v>
      </c>
      <c r="BI5">
        <v>1</v>
      </c>
      <c r="BJ5">
        <v>21</v>
      </c>
      <c r="BK5">
        <v>21</v>
      </c>
      <c r="BL5">
        <v>101</v>
      </c>
      <c r="BM5">
        <v>1666</v>
      </c>
      <c r="CI5" t="s">
        <v>142</v>
      </c>
      <c r="CJ5" t="s">
        <v>141</v>
      </c>
      <c r="CK5" t="s">
        <v>142</v>
      </c>
      <c r="CL5">
        <v>5</v>
      </c>
      <c r="CM5">
        <v>0</v>
      </c>
      <c r="CN5" t="s">
        <v>141</v>
      </c>
      <c r="CO5" t="s">
        <v>140</v>
      </c>
      <c r="ES5">
        <v>0</v>
      </c>
      <c r="ET5">
        <v>0</v>
      </c>
      <c r="EU5">
        <v>0</v>
      </c>
      <c r="EV5">
        <v>5</v>
      </c>
      <c r="EW5">
        <v>0</v>
      </c>
      <c r="EX5">
        <v>0</v>
      </c>
      <c r="EY5">
        <v>0</v>
      </c>
      <c r="EZ5">
        <v>2013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zoomScale="85" zoomScaleNormal="85" workbookViewId="0">
      <selection activeCell="R5" sqref="R5"/>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x14ac:dyDescent="0.25">
      <c r="A3" s="22" t="s">
        <v>14</v>
      </c>
      <c r="D3" s="22" t="s">
        <v>28</v>
      </c>
      <c r="E3" s="32"/>
      <c r="M3" s="21" t="s">
        <v>26</v>
      </c>
      <c r="N3" s="77" t="s">
        <v>126</v>
      </c>
      <c r="O3" s="79" t="s">
        <v>27</v>
      </c>
      <c r="P3" s="82" t="s">
        <v>129</v>
      </c>
      <c r="Q3" s="21" t="s">
        <v>317</v>
      </c>
      <c r="R3" s="21" t="s">
        <v>125</v>
      </c>
      <c r="S3" s="21" t="s">
        <v>88</v>
      </c>
    </row>
    <row r="4" spans="1:19" x14ac:dyDescent="0.25">
      <c r="A4" s="23" t="s">
        <v>15</v>
      </c>
      <c r="B4" s="34">
        <v>2015</v>
      </c>
      <c r="D4" s="26" t="s">
        <v>116</v>
      </c>
      <c r="E4" s="64">
        <f>(_2025_Volume/_2018_Volume)^(1/(2025-2018))-1</f>
        <v>2.2265789209679587E-2</v>
      </c>
      <c r="M4" s="86">
        <v>2018</v>
      </c>
      <c r="N4" s="87" t="s">
        <v>131</v>
      </c>
      <c r="O4" s="88">
        <f>MIN(E7,1)</f>
        <v>0.80152671755725191</v>
      </c>
      <c r="P4" s="89">
        <f>-(ROUNDUP(O4,0)-2)</f>
        <v>1</v>
      </c>
      <c r="Q4" s="109">
        <f>SUMPRODUCT(Possible_Crash_Reductions,Value_of_Statistical_Life_2015)</f>
        <v>1748477.7553443762</v>
      </c>
      <c r="R4" s="94">
        <f t="shared" ref="R4:R36" si="0">IF(AND(M4&gt;=Year_Open_to_Traffic?,M4&lt;Year_Open_to_Traffic?+Years_to_include_in_BCA_Analysis),1,0)</f>
        <v>1</v>
      </c>
      <c r="S4" s="85">
        <f>(Q4*R4)/10^3</f>
        <v>1748.4777553443762</v>
      </c>
    </row>
    <row r="5" spans="1:19" x14ac:dyDescent="0.25">
      <c r="A5" s="23" t="s">
        <v>89</v>
      </c>
      <c r="B5" s="23">
        <f>MIN(20,Service_Life)</f>
        <v>20</v>
      </c>
      <c r="D5" s="26" t="s">
        <v>117</v>
      </c>
      <c r="E5" s="64">
        <f>(_2040_Volume/_2025_Volume)^(1/(2040-2025))-1</f>
        <v>1.0368962299746487E-2</v>
      </c>
      <c r="M5" s="20">
        <f t="shared" ref="M5:M36" si="1">M4+1</f>
        <v>2019</v>
      </c>
      <c r="N5" s="78">
        <f t="shared" ref="N5:N11" si="2">IF(ISERROR(_2025_2040_Demand_Growth),_2018_2040_Demand_Growth,_2018_2025_Demand_Growth)</f>
        <v>2.2265789209679587E-2</v>
      </c>
      <c r="O5" s="80">
        <f t="shared" ref="O5:O11" si="3">O4*(1+IFERROR(_2018_2025_V_C_Growth,_2018_2040_V_C_Growth))</f>
        <v>0.81937334249630811</v>
      </c>
      <c r="P5" s="83">
        <f t="shared" ref="P5:P36" si="4">-(ROUNDUP(O5,0)-2)</f>
        <v>1</v>
      </c>
      <c r="Q5" s="109">
        <f>Q4*(1+N5*P5)</f>
        <v>1787408.9924826878</v>
      </c>
      <c r="R5" s="94">
        <f t="shared" si="0"/>
        <v>1</v>
      </c>
      <c r="S5" s="85">
        <f t="shared" ref="S5:S36" si="5">(Q5*R5)/10^3</f>
        <v>1787.4089924826878</v>
      </c>
    </row>
    <row r="6" spans="1:19" x14ac:dyDescent="0.25">
      <c r="D6" s="26" t="s">
        <v>121</v>
      </c>
      <c r="E6" s="64">
        <f>(_2040_Volume/_2018_Volume)^(1/(2040-2018))-1</f>
        <v>1.4139220989015655E-2</v>
      </c>
      <c r="M6" s="86">
        <f t="shared" si="1"/>
        <v>2020</v>
      </c>
      <c r="N6" s="78">
        <f t="shared" si="2"/>
        <v>2.2265789209679587E-2</v>
      </c>
      <c r="O6" s="80">
        <f t="shared" si="3"/>
        <v>0.83761733662436155</v>
      </c>
      <c r="P6" s="83">
        <f t="shared" si="4"/>
        <v>1</v>
      </c>
      <c r="Q6" s="109">
        <f t="shared" ref="Q6:Q29" si="6">Q5*(1+N6*P6)</f>
        <v>1827207.0643407931</v>
      </c>
      <c r="R6" s="94">
        <f t="shared" si="0"/>
        <v>1</v>
      </c>
      <c r="S6" s="85">
        <f t="shared" si="5"/>
        <v>1827.2070643407931</v>
      </c>
    </row>
    <row r="7" spans="1:19" x14ac:dyDescent="0.25">
      <c r="D7" s="26" t="s">
        <v>115</v>
      </c>
      <c r="E7" s="28">
        <f>_2018_Volume/_2018_Capacity</f>
        <v>0.80152671755725191</v>
      </c>
      <c r="M7" s="20">
        <f t="shared" si="1"/>
        <v>2021</v>
      </c>
      <c r="N7" s="78">
        <f t="shared" si="2"/>
        <v>2.2265789209679587E-2</v>
      </c>
      <c r="O7" s="80">
        <f t="shared" si="3"/>
        <v>0.85626754768001279</v>
      </c>
      <c r="P7" s="83">
        <f t="shared" si="4"/>
        <v>1</v>
      </c>
      <c r="Q7" s="109">
        <f t="shared" si="6"/>
        <v>1867891.2716778426</v>
      </c>
      <c r="R7" s="94">
        <f t="shared" si="0"/>
        <v>1</v>
      </c>
      <c r="S7" s="85">
        <f t="shared" si="5"/>
        <v>1867.8912716778425</v>
      </c>
    </row>
    <row r="8" spans="1:19" x14ac:dyDescent="0.25">
      <c r="D8" s="26" t="s">
        <v>114</v>
      </c>
      <c r="E8" s="28">
        <f>_2025_Volume/_2025_Capacity</f>
        <v>0.93511450381679384</v>
      </c>
      <c r="M8" s="86">
        <f t="shared" si="1"/>
        <v>2022</v>
      </c>
      <c r="N8" s="78">
        <f t="shared" si="2"/>
        <v>2.2265789209679587E-2</v>
      </c>
      <c r="O8" s="80">
        <f t="shared" si="3"/>
        <v>0.87533302040374517</v>
      </c>
      <c r="P8" s="83">
        <f t="shared" si="4"/>
        <v>1</v>
      </c>
      <c r="Q8" s="109">
        <f t="shared" si="6"/>
        <v>1909481.3449996219</v>
      </c>
      <c r="R8" s="94">
        <f t="shared" si="0"/>
        <v>1</v>
      </c>
      <c r="S8" s="85">
        <f t="shared" si="5"/>
        <v>1909.4813449996218</v>
      </c>
    </row>
    <row r="9" spans="1:19" x14ac:dyDescent="0.25">
      <c r="D9" s="26" t="s">
        <v>90</v>
      </c>
      <c r="E9" s="28">
        <f>_2040_Volume/_2040_Capacity</f>
        <v>1.0916030534351144</v>
      </c>
      <c r="M9" s="20">
        <f t="shared" si="1"/>
        <v>2023</v>
      </c>
      <c r="N9" s="78">
        <f t="shared" si="2"/>
        <v>2.2265789209679587E-2</v>
      </c>
      <c r="O9" s="80">
        <f t="shared" si="3"/>
        <v>0.89482300092432709</v>
      </c>
      <c r="P9" s="83">
        <f t="shared" si="4"/>
        <v>1</v>
      </c>
      <c r="Q9" s="109">
        <f t="shared" si="6"/>
        <v>1951997.454127199</v>
      </c>
      <c r="R9" s="94">
        <f t="shared" si="0"/>
        <v>1</v>
      </c>
      <c r="S9" s="85">
        <f t="shared" si="5"/>
        <v>1951.997454127199</v>
      </c>
    </row>
    <row r="10" spans="1:19" x14ac:dyDescent="0.25">
      <c r="D10" s="26" t="s">
        <v>122</v>
      </c>
      <c r="E10" s="64">
        <f>(E8/E7)^(1/(2025-2018))-1</f>
        <v>2.2265789209679587E-2</v>
      </c>
      <c r="M10" s="86">
        <f t="shared" si="1"/>
        <v>2024</v>
      </c>
      <c r="N10" s="78">
        <f t="shared" si="2"/>
        <v>2.2265789209679587E-2</v>
      </c>
      <c r="O10" s="80">
        <f t="shared" si="3"/>
        <v>0.91474694124288103</v>
      </c>
      <c r="P10" s="83">
        <f t="shared" si="4"/>
        <v>1</v>
      </c>
      <c r="Q10" s="109">
        <f t="shared" si="6"/>
        <v>1995460.2179786265</v>
      </c>
      <c r="R10" s="94">
        <f t="shared" si="0"/>
        <v>1</v>
      </c>
      <c r="S10" s="85">
        <f t="shared" si="5"/>
        <v>1995.4602179786266</v>
      </c>
    </row>
    <row r="11" spans="1:19" x14ac:dyDescent="0.25">
      <c r="D11" s="26" t="s">
        <v>123</v>
      </c>
      <c r="E11" s="64">
        <f>(E9/E8)^(1/(2040-2025))-1</f>
        <v>1.0368962299746487E-2</v>
      </c>
      <c r="M11" s="20">
        <f t="shared" si="1"/>
        <v>2025</v>
      </c>
      <c r="N11" s="78">
        <f t="shared" si="2"/>
        <v>2.2265789209679587E-2</v>
      </c>
      <c r="O11" s="80">
        <f t="shared" si="3"/>
        <v>0.93511450381679417</v>
      </c>
      <c r="P11" s="83">
        <f t="shared" si="4"/>
        <v>1</v>
      </c>
      <c r="Q11" s="109">
        <f t="shared" si="6"/>
        <v>2039890.7145684399</v>
      </c>
      <c r="R11" s="94">
        <f t="shared" si="0"/>
        <v>1</v>
      </c>
      <c r="S11" s="85">
        <f t="shared" si="5"/>
        <v>2039.8907145684398</v>
      </c>
    </row>
    <row r="12" spans="1:19" x14ac:dyDescent="0.25">
      <c r="D12" s="26" t="s">
        <v>124</v>
      </c>
      <c r="E12" s="64">
        <f>(E9/E7)^(1/(2040-2018))-1</f>
        <v>1.4139220989015655E-2</v>
      </c>
      <c r="M12" s="86">
        <f t="shared" si="1"/>
        <v>2026</v>
      </c>
      <c r="N12" s="78">
        <f t="shared" ref="N12:N36" si="7">IFERROR(_2025_2040_Demand_Growth,_2018_2040_Demand_Growth)</f>
        <v>1.0368962299746487E-2</v>
      </c>
      <c r="O12" s="80">
        <f t="shared" ref="O12:O36" si="8">O11*(1+IFERROR(_2025_2040_V_C_Growth,_2018_2040_V_C_Growth))</f>
        <v>0.94481067085281667</v>
      </c>
      <c r="P12" s="83">
        <f t="shared" si="4"/>
        <v>1</v>
      </c>
      <c r="Q12" s="109">
        <f t="shared" si="6"/>
        <v>2061042.2644834029</v>
      </c>
      <c r="R12" s="94">
        <f t="shared" si="0"/>
        <v>1</v>
      </c>
      <c r="S12" s="85">
        <f t="shared" si="5"/>
        <v>2061.042264483403</v>
      </c>
    </row>
    <row r="13" spans="1:19" x14ac:dyDescent="0.25">
      <c r="M13" s="20">
        <f t="shared" si="1"/>
        <v>2027</v>
      </c>
      <c r="N13" s="78">
        <f t="shared" si="7"/>
        <v>1.0368962299746487E-2</v>
      </c>
      <c r="O13" s="80">
        <f t="shared" si="8"/>
        <v>0.95460737707928767</v>
      </c>
      <c r="P13" s="83">
        <f t="shared" si="4"/>
        <v>1</v>
      </c>
      <c r="Q13" s="109">
        <f t="shared" si="6"/>
        <v>2082413.1340220154</v>
      </c>
      <c r="R13" s="94">
        <f t="shared" si="0"/>
        <v>1</v>
      </c>
      <c r="S13" s="85">
        <f t="shared" si="5"/>
        <v>2082.4131340220156</v>
      </c>
    </row>
    <row r="14" spans="1:19" x14ac:dyDescent="0.25">
      <c r="M14" s="86">
        <f>M13+1</f>
        <v>2028</v>
      </c>
      <c r="N14" s="78">
        <f t="shared" si="7"/>
        <v>1.0368962299746487E-2</v>
      </c>
      <c r="O14" s="80">
        <f>O13*(1+IFERROR(_2025_2040_V_C_Growth,_2018_2040_V_C_Growth))</f>
        <v>0.96450566498328272</v>
      </c>
      <c r="P14" s="83">
        <f t="shared" si="4"/>
        <v>1</v>
      </c>
      <c r="Q14" s="109">
        <f>Q13*(1+N14*P14)</f>
        <v>2104005.5973011865</v>
      </c>
      <c r="R14" s="94">
        <f t="shared" si="0"/>
        <v>1</v>
      </c>
      <c r="S14" s="85">
        <f t="shared" si="5"/>
        <v>2104.0055973011868</v>
      </c>
    </row>
    <row r="15" spans="1:19" x14ac:dyDescent="0.25">
      <c r="A15" s="123" t="s">
        <v>315</v>
      </c>
      <c r="B15" s="123"/>
      <c r="D15" s="72" t="s">
        <v>145</v>
      </c>
      <c r="E15" s="72" t="s">
        <v>151</v>
      </c>
      <c r="F15" s="72" t="s">
        <v>150</v>
      </c>
      <c r="G15" s="72" t="s">
        <v>149</v>
      </c>
      <c r="H15" s="72" t="s">
        <v>148</v>
      </c>
      <c r="I15" s="72" t="s">
        <v>147</v>
      </c>
      <c r="J15" s="124" t="s">
        <v>316</v>
      </c>
      <c r="M15" s="20">
        <f>M14+1</f>
        <v>2029</v>
      </c>
      <c r="N15" s="78">
        <f t="shared" si="7"/>
        <v>1.0368962299746487E-2</v>
      </c>
      <c r="O15" s="80">
        <f>O14*(1+IFERROR(_2025_2040_V_C_Growth,_2018_2040_V_C_Growth))</f>
        <v>0.97450658786138633</v>
      </c>
      <c r="P15" s="83">
        <f t="shared" si="4"/>
        <v>1</v>
      </c>
      <c r="Q15" s="109">
        <f>Q14*(1+N15*P15)</f>
        <v>2125821.9520180579</v>
      </c>
      <c r="R15" s="94">
        <f t="shared" si="0"/>
        <v>1</v>
      </c>
      <c r="S15" s="85">
        <f t="shared" si="5"/>
        <v>2125.8219520180578</v>
      </c>
    </row>
    <row r="16" spans="1:19" x14ac:dyDescent="0.25">
      <c r="A16" s="123"/>
      <c r="B16" s="123"/>
      <c r="D16" s="106">
        <f>Avg_Death_Cnt</f>
        <v>0.33333333333333331</v>
      </c>
      <c r="E16" s="106">
        <f>Avg_Incap_Injry_Cnt</f>
        <v>0.66666666666666663</v>
      </c>
      <c r="F16" s="106">
        <f>Avg_Nonincap_Injry_Cnt</f>
        <v>2</v>
      </c>
      <c r="G16" s="106">
        <f>Avg_Poss_Injry_Cnt</f>
        <v>9.6666666666666661</v>
      </c>
      <c r="H16" s="106">
        <f>Avg_Non_Injry_Cnt</f>
        <v>85</v>
      </c>
      <c r="I16" s="106">
        <f>Avg_Unkn_Injry_Cnt</f>
        <v>4.666666666666667</v>
      </c>
      <c r="J16" s="124"/>
      <c r="M16" s="86">
        <f t="shared" si="1"/>
        <v>2030</v>
      </c>
      <c r="N16" s="78">
        <f t="shared" si="7"/>
        <v>1.0368962299746487E-2</v>
      </c>
      <c r="O16" s="80">
        <f t="shared" si="8"/>
        <v>0.98461120993177564</v>
      </c>
      <c r="P16" s="83">
        <f t="shared" si="4"/>
        <v>1</v>
      </c>
      <c r="Q16" s="109">
        <f t="shared" si="6"/>
        <v>2147864.5196945067</v>
      </c>
      <c r="R16" s="94">
        <f t="shared" si="0"/>
        <v>1</v>
      </c>
      <c r="S16" s="85">
        <f t="shared" si="5"/>
        <v>2147.8645196945067</v>
      </c>
    </row>
    <row r="17" spans="1:19" x14ac:dyDescent="0.25">
      <c r="A17" s="72" t="s">
        <v>311</v>
      </c>
      <c r="B17" s="103" t="s">
        <v>312</v>
      </c>
      <c r="D17" s="107">
        <f>D$16*'Value of Statistical Life'!D17*Appropriate_Crash_Reduction_Factor</f>
        <v>0</v>
      </c>
      <c r="E17" s="107">
        <f>E$16*'Value of Statistical Life'!E17*Appropriate_Crash_Reduction_Factor</f>
        <v>7.6186833333333325E-3</v>
      </c>
      <c r="F17" s="107">
        <f>F$16*'Value of Statistical Life'!F17*Appropriate_Crash_Reduction_Factor</f>
        <v>5.5507550000000003E-2</v>
      </c>
      <c r="G17" s="107">
        <f>G$16*'Value of Statistical Life'!G17*Appropriate_Crash_Reduction_Factor</f>
        <v>0.75330424166666665</v>
      </c>
      <c r="H17" s="107">
        <f>H$16*'Value of Statistical Life'!H17*Appropriate_Crash_Reduction_Factor</f>
        <v>26.152421750000006</v>
      </c>
      <c r="I17" s="107">
        <f>I$16*'Value of Statistical Life'!I17*Appropriate_Crash_Reduction_Factor</f>
        <v>0.67770593333333329</v>
      </c>
      <c r="J17" s="107">
        <f>SUM(D17:I17)</f>
        <v>27.646558158333338</v>
      </c>
      <c r="M17" s="20">
        <f t="shared" si="1"/>
        <v>2031</v>
      </c>
      <c r="N17" s="78">
        <f t="shared" si="7"/>
        <v>1.0368962299746487E-2</v>
      </c>
      <c r="O17" s="80">
        <f t="shared" si="8"/>
        <v>0.99482060644746595</v>
      </c>
      <c r="P17" s="83">
        <f t="shared" si="4"/>
        <v>1</v>
      </c>
      <c r="Q17" s="109">
        <f t="shared" si="6"/>
        <v>2170135.6459241821</v>
      </c>
      <c r="R17" s="94">
        <f t="shared" si="0"/>
        <v>1</v>
      </c>
      <c r="S17" s="85">
        <f t="shared" si="5"/>
        <v>2170.135645924182</v>
      </c>
    </row>
    <row r="18" spans="1:19" x14ac:dyDescent="0.25">
      <c r="A18" s="72" t="s">
        <v>98</v>
      </c>
      <c r="B18" s="73" t="s">
        <v>99</v>
      </c>
      <c r="D18" s="107">
        <f>D$16*'Value of Statistical Life'!D18*Appropriate_Crash_Reduction_Factor</f>
        <v>0</v>
      </c>
      <c r="E18" s="107">
        <f>E$16*'Value of Statistical Life'!E18*Appropriate_Crash_Reduction_Factor</f>
        <v>0.12291195000000001</v>
      </c>
      <c r="F18" s="107">
        <f>F$16*'Value of Statistical Life'!F18*Appropriate_Crash_Reduction_Factor</f>
        <v>0.51100595000000004</v>
      </c>
      <c r="G18" s="107">
        <f>G$16*'Value of Statistical Life'!G18*Appropriate_Crash_Reduction_Factor</f>
        <v>2.21603935</v>
      </c>
      <c r="H18" s="107">
        <f>H$16*'Value of Statistical Life'!H18*Appropriate_Crash_Reduction_Factor</f>
        <v>2.0510096250000003</v>
      </c>
      <c r="I18" s="107">
        <f>I$16*'Value of Statistical Life'!I18*Appropriate_Crash_Reduction_Factor</f>
        <v>0.64765015000000004</v>
      </c>
      <c r="J18" s="107">
        <f t="shared" ref="J18:J23" si="9">SUM(D18:I18)</f>
        <v>5.5486170250000004</v>
      </c>
      <c r="M18" s="86">
        <f t="shared" si="1"/>
        <v>2032</v>
      </c>
      <c r="N18" s="78">
        <f t="shared" si="7"/>
        <v>1.0368962299746487E-2</v>
      </c>
      <c r="O18" s="80">
        <f t="shared" si="8"/>
        <v>1.0051358638107306</v>
      </c>
      <c r="P18" s="83">
        <f t="shared" si="4"/>
        <v>0</v>
      </c>
      <c r="Q18" s="109">
        <f t="shared" si="6"/>
        <v>2170135.6459241821</v>
      </c>
      <c r="R18" s="94">
        <f t="shared" si="0"/>
        <v>1</v>
      </c>
      <c r="S18" s="85">
        <f t="shared" si="5"/>
        <v>2170.135645924182</v>
      </c>
    </row>
    <row r="19" spans="1:19" x14ac:dyDescent="0.25">
      <c r="A19" s="72" t="s">
        <v>100</v>
      </c>
      <c r="B19" s="73" t="s">
        <v>101</v>
      </c>
      <c r="D19" s="107">
        <f>D$16*'Value of Statistical Life'!D19*Appropriate_Crash_Reduction_Factor</f>
        <v>0</v>
      </c>
      <c r="E19" s="107">
        <f>E$16*'Value of Statistical Life'!E19*Appropriate_Crash_Reduction_Factor</f>
        <v>4.6346066666666665E-2</v>
      </c>
      <c r="F19" s="107">
        <f>F$16*'Value of Statistical Life'!F19*Appropriate_Crash_Reduction_Factor</f>
        <v>7.24717E-2</v>
      </c>
      <c r="G19" s="107">
        <f>G$16*'Value of Statistical Life'!G19*Appropriate_Crash_Reduction_Factor</f>
        <v>0.20541739166666664</v>
      </c>
      <c r="H19" s="107">
        <f>H$16*'Value of Statistical Life'!H19*Appropriate_Crash_Reduction_Factor</f>
        <v>5.5959750000000003E-2</v>
      </c>
      <c r="I19" s="107">
        <f>I$16*'Value of Statistical Life'!I19*Appropriate_Crash_Reduction_Factor</f>
        <v>0.13766386666666666</v>
      </c>
      <c r="J19" s="107">
        <f t="shared" si="9"/>
        <v>0.51785877499999988</v>
      </c>
      <c r="M19" s="20">
        <f t="shared" si="1"/>
        <v>2033</v>
      </c>
      <c r="N19" s="78">
        <f t="shared" si="7"/>
        <v>1.0368962299746487E-2</v>
      </c>
      <c r="O19" s="80">
        <f t="shared" si="8"/>
        <v>1.0155580796887071</v>
      </c>
      <c r="P19" s="83">
        <f t="shared" si="4"/>
        <v>0</v>
      </c>
      <c r="Q19" s="109">
        <f t="shared" si="6"/>
        <v>2170135.6459241821</v>
      </c>
      <c r="R19" s="94">
        <f t="shared" si="0"/>
        <v>1</v>
      </c>
      <c r="S19" s="85">
        <f t="shared" si="5"/>
        <v>2170.135645924182</v>
      </c>
    </row>
    <row r="20" spans="1:19" x14ac:dyDescent="0.25">
      <c r="A20" s="72" t="s">
        <v>102</v>
      </c>
      <c r="B20" s="73" t="s">
        <v>103</v>
      </c>
      <c r="D20" s="107">
        <f>D$16*'Value of Statistical Life'!D20*Appropriate_Crash_Reduction_Factor</f>
        <v>0</v>
      </c>
      <c r="E20" s="107">
        <f>E$16*'Value of Statistical Life'!E20*Appropriate_Crash_Reduction_Factor</f>
        <v>3.2002016666666667E-2</v>
      </c>
      <c r="F20" s="107">
        <f>F$16*'Value of Statistical Life'!F20*Appropriate_Crash_Reduction_Factor</f>
        <v>2.122015E-2</v>
      </c>
      <c r="G20" s="107">
        <f>G$16*'Value of Statistical Life'!G20*Appropriate_Crash_Reduction_Factor</f>
        <v>3.4423725000000002E-2</v>
      </c>
      <c r="H20" s="107">
        <f>H$16*'Value of Statistical Life'!H20*Appropriate_Crash_Reduction_Factor</f>
        <v>2.2610000000000004E-3</v>
      </c>
      <c r="I20" s="107">
        <f>I$16*'Value of Statistical Life'!I20*Appropriate_Crash_Reduction_Factor</f>
        <v>7.4743783333333341E-2</v>
      </c>
      <c r="J20" s="107">
        <f t="shared" si="9"/>
        <v>0.16465067500000002</v>
      </c>
      <c r="M20" s="86">
        <f t="shared" si="1"/>
        <v>2034</v>
      </c>
      <c r="N20" s="78">
        <f t="shared" si="7"/>
        <v>1.0368962299746487E-2</v>
      </c>
      <c r="O20" s="80">
        <f t="shared" si="8"/>
        <v>1.0260883631302022</v>
      </c>
      <c r="P20" s="83">
        <f t="shared" si="4"/>
        <v>0</v>
      </c>
      <c r="Q20" s="109">
        <f t="shared" si="6"/>
        <v>2170135.6459241821</v>
      </c>
      <c r="R20" s="94">
        <f t="shared" si="0"/>
        <v>1</v>
      </c>
      <c r="S20" s="85">
        <f t="shared" si="5"/>
        <v>2170.135645924182</v>
      </c>
    </row>
    <row r="21" spans="1:19" x14ac:dyDescent="0.25">
      <c r="A21" s="72" t="s">
        <v>104</v>
      </c>
      <c r="B21" s="73" t="s">
        <v>105</v>
      </c>
      <c r="D21" s="107">
        <f>D$16*'Value of Statistical Life'!D21*Appropriate_Crash_Reduction_Factor</f>
        <v>0</v>
      </c>
      <c r="E21" s="107">
        <f>E$16*'Value of Statistical Life'!E21*Appropriate_Crash_Reduction_Factor</f>
        <v>8.8356333333333321E-3</v>
      </c>
      <c r="F21" s="107">
        <f>F$16*'Value of Statistical Life'!F21*Appropriate_Crash_Reduction_Factor</f>
        <v>4.1229999999999999E-3</v>
      </c>
      <c r="G21" s="107">
        <f>G$16*'Value of Statistical Life'!G21*Appropriate_Crash_Reduction_Factor</f>
        <v>4.5641166666666672E-3</v>
      </c>
      <c r="H21" s="107">
        <f>H$16*'Value of Statistical Life'!H21*Appropriate_Crash_Reduction_Factor</f>
        <v>0</v>
      </c>
      <c r="I21" s="107">
        <f>I$16*'Value of Statistical Life'!I21*Appropriate_Crash_Reduction_Factor</f>
        <v>9.5737833333333355E-3</v>
      </c>
      <c r="J21" s="107">
        <f t="shared" si="9"/>
        <v>2.7096533333333336E-2</v>
      </c>
      <c r="M21" s="20">
        <f>M20+1</f>
        <v>2035</v>
      </c>
      <c r="N21" s="78">
        <f t="shared" si="7"/>
        <v>1.0368962299746487E-2</v>
      </c>
      <c r="O21" s="80">
        <f>O20*(1+IFERROR(_2025_2040_V_C_Growth,_2018_2040_V_C_Growth))</f>
        <v>1.0367278346837079</v>
      </c>
      <c r="P21" s="83">
        <f t="shared" si="4"/>
        <v>0</v>
      </c>
      <c r="Q21" s="109">
        <f>Q20*(1+N21*P21)</f>
        <v>2170135.6459241821</v>
      </c>
      <c r="R21" s="94">
        <f t="shared" si="0"/>
        <v>1</v>
      </c>
      <c r="S21" s="85">
        <f t="shared" si="5"/>
        <v>2170.135645924182</v>
      </c>
    </row>
    <row r="22" spans="1:19" x14ac:dyDescent="0.25">
      <c r="A22" s="72" t="s">
        <v>106</v>
      </c>
      <c r="B22" s="73" t="s">
        <v>107</v>
      </c>
      <c r="D22" s="107">
        <f>D$16*'Value of Statistical Life'!D22*Appropriate_Crash_Reduction_Factor</f>
        <v>0</v>
      </c>
      <c r="E22" s="107">
        <f>E$16*'Value of Statistical Life'!E22*Appropriate_Crash_Reduction_Factor</f>
        <v>3.9523166666666663E-3</v>
      </c>
      <c r="F22" s="107">
        <f>F$16*'Value of Statistical Life'!F22*Appropriate_Crash_Reduction_Factor</f>
        <v>6.7165000000000009E-4</v>
      </c>
      <c r="G22" s="107">
        <f>G$16*'Value of Statistical Life'!G22*Appropriate_Crash_Reduction_Factor</f>
        <v>4.1784166666666665E-4</v>
      </c>
      <c r="H22" s="107">
        <f>H$16*'Value of Statistical Life'!H22*Appropriate_Crash_Reduction_Factor</f>
        <v>8.478750000000001E-4</v>
      </c>
      <c r="I22" s="107">
        <f>I$16*'Value of Statistical Life'!I22*Appropriate_Crash_Reduction_Factor</f>
        <v>4.3291500000000004E-3</v>
      </c>
      <c r="J22" s="107">
        <f t="shared" si="9"/>
        <v>1.0218833333333333E-2</v>
      </c>
      <c r="M22" s="86">
        <f>M21+1</f>
        <v>2036</v>
      </c>
      <c r="N22" s="78">
        <f t="shared" si="7"/>
        <v>1.0368962299746487E-2</v>
      </c>
      <c r="O22" s="80">
        <f t="shared" si="8"/>
        <v>1.047477626516641</v>
      </c>
      <c r="P22" s="83">
        <f t="shared" si="4"/>
        <v>0</v>
      </c>
      <c r="Q22" s="109">
        <f t="shared" si="6"/>
        <v>2170135.6459241821</v>
      </c>
      <c r="R22" s="94">
        <f t="shared" si="0"/>
        <v>1</v>
      </c>
      <c r="S22" s="85">
        <f t="shared" si="5"/>
        <v>2170.135645924182</v>
      </c>
    </row>
    <row r="23" spans="1:19" x14ac:dyDescent="0.25">
      <c r="A23" s="72" t="s">
        <v>108</v>
      </c>
      <c r="B23" s="73" t="s">
        <v>109</v>
      </c>
      <c r="D23" s="107">
        <f>D$16*'Value of Statistical Life'!D23*Appropriate_Crash_Reduction_Factor</f>
        <v>0.11083333333333334</v>
      </c>
      <c r="E23" s="107">
        <f>E$16*'Value of Statistical Life'!E23*Appropriate_Crash_Reduction_Factor</f>
        <v>0</v>
      </c>
      <c r="F23" s="107">
        <f>F$16*'Value of Statistical Life'!F23*Appropriate_Crash_Reduction_Factor</f>
        <v>0</v>
      </c>
      <c r="G23" s="107">
        <f>G$16*'Value of Statistical Life'!G23*Appropriate_Crash_Reduction_Factor</f>
        <v>0</v>
      </c>
      <c r="H23" s="107">
        <f>H$16*'Value of Statistical Life'!H23*Appropriate_Crash_Reduction_Factor</f>
        <v>0</v>
      </c>
      <c r="I23" s="107">
        <f>I$16*'Value of Statistical Life'!I23*Appropriate_Crash_Reduction_Factor</f>
        <v>0</v>
      </c>
      <c r="J23" s="107">
        <f t="shared" si="9"/>
        <v>0.11083333333333334</v>
      </c>
      <c r="M23" s="20">
        <f t="shared" si="1"/>
        <v>2037</v>
      </c>
      <c r="N23" s="78">
        <f t="shared" si="7"/>
        <v>1.0368962299746487E-2</v>
      </c>
      <c r="O23" s="80">
        <f t="shared" si="8"/>
        <v>1.05833888253582</v>
      </c>
      <c r="P23" s="83">
        <f t="shared" si="4"/>
        <v>0</v>
      </c>
      <c r="Q23" s="109">
        <f t="shared" si="6"/>
        <v>2170135.6459241821</v>
      </c>
      <c r="R23" s="94">
        <f t="shared" si="0"/>
        <v>1</v>
      </c>
      <c r="S23" s="85">
        <f t="shared" si="5"/>
        <v>2170.135645924182</v>
      </c>
    </row>
    <row r="24" spans="1:19" x14ac:dyDescent="0.25">
      <c r="M24" s="86">
        <f t="shared" si="1"/>
        <v>2038</v>
      </c>
      <c r="N24" s="78">
        <f t="shared" si="7"/>
        <v>1.0368962299746487E-2</v>
      </c>
      <c r="O24" s="80">
        <f t="shared" si="8"/>
        <v>1.0693127585091897</v>
      </c>
      <c r="P24" s="83">
        <f t="shared" si="4"/>
        <v>0</v>
      </c>
      <c r="Q24" s="109">
        <f t="shared" si="6"/>
        <v>2170135.6459241821</v>
      </c>
      <c r="R24" s="94">
        <f t="shared" si="0"/>
        <v>0</v>
      </c>
      <c r="S24" s="85">
        <f t="shared" si="5"/>
        <v>0</v>
      </c>
    </row>
    <row r="25" spans="1:19" x14ac:dyDescent="0.25">
      <c r="M25" s="20">
        <f t="shared" si="1"/>
        <v>2039</v>
      </c>
      <c r="N25" s="78">
        <f t="shared" si="7"/>
        <v>1.0368962299746487E-2</v>
      </c>
      <c r="O25" s="80">
        <f t="shared" si="8"/>
        <v>1.0804004221888095</v>
      </c>
      <c r="P25" s="83">
        <f t="shared" si="4"/>
        <v>0</v>
      </c>
      <c r="Q25" s="109">
        <f t="shared" si="6"/>
        <v>2170135.6459241821</v>
      </c>
      <c r="R25" s="94">
        <f t="shared" si="0"/>
        <v>0</v>
      </c>
      <c r="S25" s="85">
        <f t="shared" si="5"/>
        <v>0</v>
      </c>
    </row>
    <row r="26" spans="1:19" x14ac:dyDescent="0.25">
      <c r="M26" s="86">
        <f t="shared" si="1"/>
        <v>2040</v>
      </c>
      <c r="N26" s="78">
        <f t="shared" si="7"/>
        <v>1.0368962299746487E-2</v>
      </c>
      <c r="O26" s="80">
        <f t="shared" si="8"/>
        <v>1.0916030534351155</v>
      </c>
      <c r="P26" s="83">
        <f t="shared" si="4"/>
        <v>0</v>
      </c>
      <c r="Q26" s="109">
        <f t="shared" si="6"/>
        <v>2170135.6459241821</v>
      </c>
      <c r="R26" s="94">
        <f t="shared" si="0"/>
        <v>0</v>
      </c>
      <c r="S26" s="85">
        <f t="shared" si="5"/>
        <v>0</v>
      </c>
    </row>
    <row r="27" spans="1:19" x14ac:dyDescent="0.25">
      <c r="M27" s="20">
        <f t="shared" si="1"/>
        <v>2041</v>
      </c>
      <c r="N27" s="78">
        <f t="shared" si="7"/>
        <v>1.0368962299746487E-2</v>
      </c>
      <c r="O27" s="80">
        <f t="shared" si="8"/>
        <v>1.1029218443424724</v>
      </c>
      <c r="P27" s="83">
        <f t="shared" si="4"/>
        <v>0</v>
      </c>
      <c r="Q27" s="109">
        <f t="shared" si="6"/>
        <v>2170135.6459241821</v>
      </c>
      <c r="R27" s="94">
        <f t="shared" si="0"/>
        <v>0</v>
      </c>
      <c r="S27" s="85">
        <f t="shared" si="5"/>
        <v>0</v>
      </c>
    </row>
    <row r="28" spans="1:19" x14ac:dyDescent="0.25">
      <c r="M28" s="86">
        <f t="shared" si="1"/>
        <v>2042</v>
      </c>
      <c r="N28" s="78">
        <f t="shared" si="7"/>
        <v>1.0368962299746487E-2</v>
      </c>
      <c r="O28" s="80">
        <f t="shared" si="8"/>
        <v>1.1143579993660264</v>
      </c>
      <c r="P28" s="83">
        <f t="shared" si="4"/>
        <v>0</v>
      </c>
      <c r="Q28" s="109">
        <f t="shared" si="6"/>
        <v>2170135.6459241821</v>
      </c>
      <c r="R28" s="94">
        <f t="shared" si="0"/>
        <v>0</v>
      </c>
      <c r="S28" s="85">
        <f t="shared" si="5"/>
        <v>0</v>
      </c>
    </row>
    <row r="29" spans="1:19" x14ac:dyDescent="0.25">
      <c r="M29" s="20">
        <f t="shared" si="1"/>
        <v>2043</v>
      </c>
      <c r="N29" s="78">
        <f t="shared" si="7"/>
        <v>1.0368962299746487E-2</v>
      </c>
      <c r="O29" s="80">
        <f t="shared" si="8"/>
        <v>1.1259127354498737</v>
      </c>
      <c r="P29" s="83">
        <f t="shared" si="4"/>
        <v>0</v>
      </c>
      <c r="Q29" s="109">
        <f t="shared" si="6"/>
        <v>2170135.6459241821</v>
      </c>
      <c r="R29" s="94">
        <f t="shared" si="0"/>
        <v>0</v>
      </c>
      <c r="S29" s="85">
        <f t="shared" si="5"/>
        <v>0</v>
      </c>
    </row>
    <row r="30" spans="1:19" x14ac:dyDescent="0.25">
      <c r="M30" s="20">
        <f t="shared" si="1"/>
        <v>2044</v>
      </c>
      <c r="N30" s="78">
        <f t="shared" si="7"/>
        <v>1.0368962299746487E-2</v>
      </c>
      <c r="O30" s="80">
        <f t="shared" si="8"/>
        <v>1.1375872821565578</v>
      </c>
      <c r="P30" s="83">
        <f t="shared" si="4"/>
        <v>0</v>
      </c>
      <c r="Q30" s="109">
        <f t="shared" ref="Q30:Q31" si="10">Q29*(1+N30*P30)</f>
        <v>2170135.6459241821</v>
      </c>
      <c r="R30" s="94">
        <f t="shared" si="0"/>
        <v>0</v>
      </c>
      <c r="S30" s="85">
        <f t="shared" si="5"/>
        <v>0</v>
      </c>
    </row>
    <row r="31" spans="1:19" x14ac:dyDescent="0.25">
      <c r="M31" s="20">
        <f t="shared" si="1"/>
        <v>2045</v>
      </c>
      <c r="N31" s="78">
        <f t="shared" si="7"/>
        <v>1.0368962299746487E-2</v>
      </c>
      <c r="O31" s="80">
        <f t="shared" si="8"/>
        <v>1.1493828817979101</v>
      </c>
      <c r="P31" s="83">
        <f t="shared" si="4"/>
        <v>0</v>
      </c>
      <c r="Q31" s="109">
        <f t="shared" si="10"/>
        <v>2170135.6459241821</v>
      </c>
      <c r="R31" s="94">
        <f t="shared" si="0"/>
        <v>0</v>
      </c>
      <c r="S31" s="85">
        <f t="shared" si="5"/>
        <v>0</v>
      </c>
    </row>
    <row r="32" spans="1:19" x14ac:dyDescent="0.25">
      <c r="A32" s="11"/>
      <c r="M32" s="20">
        <f t="shared" si="1"/>
        <v>2046</v>
      </c>
      <c r="N32" s="78">
        <f t="shared" si="7"/>
        <v>1.0368962299746487E-2</v>
      </c>
      <c r="O32" s="80">
        <f t="shared" si="8"/>
        <v>1.1613007895672467</v>
      </c>
      <c r="P32" s="83">
        <f t="shared" si="4"/>
        <v>0</v>
      </c>
      <c r="Q32" s="109">
        <f t="shared" ref="Q32:Q36" si="11">Q31*(1+N32*P32)</f>
        <v>2170135.6459241821</v>
      </c>
      <c r="R32" s="94">
        <f t="shared" si="0"/>
        <v>0</v>
      </c>
      <c r="S32" s="85">
        <f t="shared" si="5"/>
        <v>0</v>
      </c>
    </row>
    <row r="33" spans="1:19" x14ac:dyDescent="0.25">
      <c r="A33" s="11"/>
      <c r="M33" s="20">
        <f t="shared" si="1"/>
        <v>2047</v>
      </c>
      <c r="N33" s="78">
        <f t="shared" si="7"/>
        <v>1.0368962299746487E-2</v>
      </c>
      <c r="O33" s="80">
        <f t="shared" si="8"/>
        <v>1.1733422736729353</v>
      </c>
      <c r="P33" s="83">
        <f t="shared" si="4"/>
        <v>0</v>
      </c>
      <c r="Q33" s="109">
        <f t="shared" si="11"/>
        <v>2170135.6459241821</v>
      </c>
      <c r="R33" s="94">
        <f t="shared" si="0"/>
        <v>0</v>
      </c>
      <c r="S33" s="85">
        <f t="shared" si="5"/>
        <v>0</v>
      </c>
    </row>
    <row r="34" spans="1:19" x14ac:dyDescent="0.25">
      <c r="M34" s="20">
        <f t="shared" si="1"/>
        <v>2048</v>
      </c>
      <c r="N34" s="78">
        <f t="shared" si="7"/>
        <v>1.0368962299746487E-2</v>
      </c>
      <c r="O34" s="80">
        <f t="shared" si="8"/>
        <v>1.1855086154733487</v>
      </c>
      <c r="P34" s="83">
        <f t="shared" si="4"/>
        <v>0</v>
      </c>
      <c r="Q34" s="109">
        <f t="shared" si="11"/>
        <v>2170135.6459241821</v>
      </c>
      <c r="R34" s="94">
        <f t="shared" si="0"/>
        <v>0</v>
      </c>
      <c r="S34" s="85">
        <f t="shared" si="5"/>
        <v>0</v>
      </c>
    </row>
    <row r="35" spans="1:19" x14ac:dyDescent="0.25">
      <c r="M35" s="20">
        <f t="shared" si="1"/>
        <v>2049</v>
      </c>
      <c r="N35" s="78">
        <f t="shared" si="7"/>
        <v>1.0368962299746487E-2</v>
      </c>
      <c r="O35" s="80">
        <f t="shared" si="8"/>
        <v>1.1978011096132166</v>
      </c>
      <c r="P35" s="83">
        <f t="shared" si="4"/>
        <v>0</v>
      </c>
      <c r="Q35" s="109">
        <f t="shared" si="11"/>
        <v>2170135.6459241821</v>
      </c>
      <c r="R35" s="94">
        <f t="shared" si="0"/>
        <v>0</v>
      </c>
      <c r="S35" s="85">
        <f t="shared" si="5"/>
        <v>0</v>
      </c>
    </row>
    <row r="36" spans="1:19" x14ac:dyDescent="0.25">
      <c r="M36" s="20">
        <f t="shared" si="1"/>
        <v>2050</v>
      </c>
      <c r="N36" s="78">
        <f t="shared" si="7"/>
        <v>1.0368962299746487E-2</v>
      </c>
      <c r="O36" s="80">
        <f t="shared" si="8"/>
        <v>1.2102210641613906</v>
      </c>
      <c r="P36" s="83">
        <f t="shared" si="4"/>
        <v>0</v>
      </c>
      <c r="Q36" s="109">
        <f t="shared" si="11"/>
        <v>2170135.6459241821</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G17" sqref="G1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132</v>
      </c>
    </row>
    <row r="4" spans="2:3" x14ac:dyDescent="0.25">
      <c r="B4" s="4" t="s">
        <v>34</v>
      </c>
    </row>
    <row r="5" spans="2:3" x14ac:dyDescent="0.25">
      <c r="B5" s="45" t="s">
        <v>37</v>
      </c>
      <c r="C5" s="51">
        <v>2015</v>
      </c>
    </row>
    <row r="6" spans="2:3" x14ac:dyDescent="0.25">
      <c r="B6" s="45" t="s">
        <v>38</v>
      </c>
      <c r="C6" s="71" t="s">
        <v>91</v>
      </c>
    </row>
    <row r="7" spans="2:3" x14ac:dyDescent="0.25">
      <c r="B7" s="45" t="s">
        <v>134</v>
      </c>
      <c r="C7" s="52" t="s">
        <v>45</v>
      </c>
    </row>
    <row r="8" spans="2:3" x14ac:dyDescent="0.25">
      <c r="B8" s="45" t="s">
        <v>133</v>
      </c>
      <c r="C8" s="70">
        <f>'GDP Deflators'!P5-1</f>
        <v>2.0832073567924381E-2</v>
      </c>
    </row>
    <row r="9" spans="2:3" x14ac:dyDescent="0.25">
      <c r="B9" s="35"/>
      <c r="C9" s="36"/>
    </row>
    <row r="10" spans="2:3" x14ac:dyDescent="0.25">
      <c r="B10" s="37" t="s">
        <v>92</v>
      </c>
      <c r="C10" s="36"/>
    </row>
    <row r="11" spans="2:3" x14ac:dyDescent="0.25">
      <c r="B11" s="45" t="s">
        <v>93</v>
      </c>
      <c r="C11" s="76">
        <f>'Value of Statistical Life'!F11</f>
        <v>9587302.7263098899</v>
      </c>
    </row>
    <row r="12" spans="2:3" x14ac:dyDescent="0.25">
      <c r="B12" s="125" t="s">
        <v>111</v>
      </c>
      <c r="C12" s="126"/>
    </row>
    <row r="14" spans="2:3" x14ac:dyDescent="0.25">
      <c r="B14" s="37" t="s">
        <v>35</v>
      </c>
      <c r="C14" s="36"/>
    </row>
    <row r="15" spans="2:3" x14ac:dyDescent="0.25">
      <c r="B15" s="45" t="s">
        <v>84</v>
      </c>
      <c r="C15" s="50">
        <f>'Value of Travel Time'!D21</f>
        <v>16.100000000000001</v>
      </c>
    </row>
    <row r="16" spans="2:3" x14ac:dyDescent="0.25">
      <c r="B16" s="90" t="s">
        <v>130</v>
      </c>
      <c r="C16" s="91">
        <v>1.2E-2</v>
      </c>
    </row>
    <row r="18" spans="2:3" x14ac:dyDescent="0.25">
      <c r="B18" s="37" t="s">
        <v>36</v>
      </c>
    </row>
    <row r="19" spans="2:3" x14ac:dyDescent="0.25">
      <c r="B19" s="47" t="s">
        <v>86</v>
      </c>
      <c r="C19" s="48">
        <f>'Value of Emissions'!D4</f>
        <v>2083.1541467275511</v>
      </c>
    </row>
    <row r="20" spans="2:3" x14ac:dyDescent="0.25">
      <c r="B20" s="47" t="s">
        <v>87</v>
      </c>
      <c r="C20" s="48">
        <f>'Value of Emissions'!D5</f>
        <v>8208.6069103416321</v>
      </c>
    </row>
    <row r="21" spans="2:3" x14ac:dyDescent="0.25">
      <c r="B21" s="45" t="s">
        <v>49</v>
      </c>
      <c r="C21" s="49">
        <f>(0.267383+0.37942)/2</f>
        <v>0.32340150000000001</v>
      </c>
    </row>
    <row r="22" spans="2:3" x14ac:dyDescent="0.25">
      <c r="B22" s="45" t="s">
        <v>50</v>
      </c>
      <c r="C22" s="49">
        <f>(0.183428+0.198698)/2</f>
        <v>0.19106300000000001</v>
      </c>
    </row>
    <row r="23" spans="2:3" ht="63.75" x14ac:dyDescent="0.25">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K32" sqref="K32"/>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135</v>
      </c>
    </row>
    <row r="17" spans="2:4" x14ac:dyDescent="0.25">
      <c r="C17" s="8" t="s">
        <v>66</v>
      </c>
      <c r="D17" s="8" t="s">
        <v>83</v>
      </c>
    </row>
    <row r="18" spans="2:4" x14ac:dyDescent="0.25">
      <c r="B18" s="6" t="s">
        <v>7</v>
      </c>
      <c r="C18" s="7">
        <v>12.42</v>
      </c>
      <c r="D18" s="53">
        <f>C18*(1+'Assumed Values'!$C$16)^(2015-2013)</f>
        <v>12.719868479999999</v>
      </c>
    </row>
    <row r="19" spans="2:4" x14ac:dyDescent="0.25">
      <c r="B19" s="6" t="s">
        <v>8</v>
      </c>
      <c r="C19" s="7">
        <v>25.23</v>
      </c>
      <c r="D19" s="53">
        <f>C19*(1+'Assumed Values'!$C$16)^(2015-2013)</f>
        <v>25.839153119999999</v>
      </c>
    </row>
    <row r="20" spans="2:4" x14ac:dyDescent="0.25">
      <c r="B20" s="6" t="s">
        <v>4</v>
      </c>
      <c r="C20" s="7">
        <v>25.75</v>
      </c>
      <c r="D20" s="53">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I32" sqref="I32"/>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5" t="s">
        <v>136</v>
      </c>
    </row>
    <row r="4" spans="2:9" x14ac:dyDescent="0.25">
      <c r="B4" s="72" t="s">
        <v>94</v>
      </c>
      <c r="C4" s="72" t="s">
        <v>95</v>
      </c>
      <c r="D4" s="72" t="s">
        <v>96</v>
      </c>
      <c r="E4" s="72" t="s">
        <v>97</v>
      </c>
      <c r="F4" s="72" t="s">
        <v>110</v>
      </c>
    </row>
    <row r="5" spans="2:9" x14ac:dyDescent="0.25">
      <c r="B5" s="73" t="s">
        <v>311</v>
      </c>
      <c r="C5" s="73" t="s">
        <v>312</v>
      </c>
      <c r="D5" s="75">
        <v>0</v>
      </c>
      <c r="E5" s="74">
        <v>0</v>
      </c>
      <c r="F5" s="74">
        <f>E5*(1+'Assumed Values'!$C$8)^(2015-2013)</f>
        <v>0</v>
      </c>
    </row>
    <row r="6" spans="2:9" x14ac:dyDescent="0.25">
      <c r="B6" s="73" t="s">
        <v>98</v>
      </c>
      <c r="C6" s="73" t="s">
        <v>99</v>
      </c>
      <c r="D6" s="75">
        <v>3.0000000000000001E-3</v>
      </c>
      <c r="E6" s="74">
        <v>27600</v>
      </c>
      <c r="F6" s="74">
        <f>E6*(1+'Assumed Values'!$C$8)^(2015-2013)</f>
        <v>28761.908178929672</v>
      </c>
    </row>
    <row r="7" spans="2:9" x14ac:dyDescent="0.25">
      <c r="B7" s="73" t="s">
        <v>100</v>
      </c>
      <c r="C7" s="73" t="s">
        <v>101</v>
      </c>
      <c r="D7" s="75">
        <v>4.7E-2</v>
      </c>
      <c r="E7" s="74">
        <v>432400</v>
      </c>
      <c r="F7" s="74">
        <f>E7*(1+'Assumed Values'!$C$8)^(2015-2013)</f>
        <v>450603.22813656484</v>
      </c>
    </row>
    <row r="8" spans="2:9" x14ac:dyDescent="0.25">
      <c r="B8" s="73" t="s">
        <v>102</v>
      </c>
      <c r="C8" s="73" t="s">
        <v>103</v>
      </c>
      <c r="D8" s="75">
        <v>0.105</v>
      </c>
      <c r="E8" s="74">
        <v>966000</v>
      </c>
      <c r="F8" s="74">
        <f>E8*(1+'Assumed Values'!$C$8)^(2015-2013)</f>
        <v>1006666.7862625385</v>
      </c>
    </row>
    <row r="9" spans="2:9" x14ac:dyDescent="0.25">
      <c r="B9" s="73" t="s">
        <v>104</v>
      </c>
      <c r="C9" s="73" t="s">
        <v>105</v>
      </c>
      <c r="D9" s="75">
        <v>0.26600000000000001</v>
      </c>
      <c r="E9" s="74">
        <v>2447200</v>
      </c>
      <c r="F9" s="74">
        <f>E9*(1+'Assumed Values'!$C$8)^(2015-2013)</f>
        <v>2550222.5251984308</v>
      </c>
    </row>
    <row r="10" spans="2:9" x14ac:dyDescent="0.25">
      <c r="B10" s="73" t="s">
        <v>106</v>
      </c>
      <c r="C10" s="73" t="s">
        <v>107</v>
      </c>
      <c r="D10" s="75">
        <v>0.59299999999999997</v>
      </c>
      <c r="E10" s="74">
        <v>5455600</v>
      </c>
      <c r="F10" s="74">
        <f>E10*(1+'Assumed Values'!$C$8)^(2015-2013)</f>
        <v>5685270.5167017654</v>
      </c>
    </row>
    <row r="11" spans="2:9" x14ac:dyDescent="0.25">
      <c r="B11" s="73" t="s">
        <v>108</v>
      </c>
      <c r="C11" s="73" t="s">
        <v>109</v>
      </c>
      <c r="D11" s="75">
        <v>1</v>
      </c>
      <c r="E11" s="74">
        <v>9200000</v>
      </c>
      <c r="F11" s="74">
        <f>E11*(1+'Assumed Values'!$C$8)^(2015-2013)</f>
        <v>9587302.7263098899</v>
      </c>
    </row>
    <row r="14" spans="2:9" x14ac:dyDescent="0.25">
      <c r="B14" s="5" t="s">
        <v>314</v>
      </c>
    </row>
    <row r="16" spans="2:9" x14ac:dyDescent="0.25">
      <c r="B16" s="72" t="s">
        <v>94</v>
      </c>
      <c r="C16" s="103" t="s">
        <v>95</v>
      </c>
      <c r="D16" s="72" t="s">
        <v>145</v>
      </c>
      <c r="E16" s="72" t="s">
        <v>151</v>
      </c>
      <c r="F16" s="72" t="s">
        <v>150</v>
      </c>
      <c r="G16" s="72" t="s">
        <v>149</v>
      </c>
      <c r="H16" s="72" t="s">
        <v>148</v>
      </c>
      <c r="I16" s="72" t="s">
        <v>147</v>
      </c>
    </row>
    <row r="17" spans="2:9" x14ac:dyDescent="0.25">
      <c r="B17" s="72" t="s">
        <v>311</v>
      </c>
      <c r="C17" s="103" t="s">
        <v>312</v>
      </c>
      <c r="D17" s="104">
        <v>0</v>
      </c>
      <c r="E17" s="104">
        <v>3.4369999999999998E-2</v>
      </c>
      <c r="F17" s="104">
        <v>8.3470000000000003E-2</v>
      </c>
      <c r="G17" s="104">
        <v>0.23436999999999999</v>
      </c>
      <c r="H17" s="104">
        <v>0.92534000000000005</v>
      </c>
      <c r="I17" s="104">
        <v>0.43675999999999998</v>
      </c>
    </row>
    <row r="18" spans="2:9" x14ac:dyDescent="0.25">
      <c r="B18" s="72" t="s">
        <v>98</v>
      </c>
      <c r="C18" s="73" t="s">
        <v>99</v>
      </c>
      <c r="D18" s="104">
        <v>0</v>
      </c>
      <c r="E18" s="104">
        <v>0.55449000000000004</v>
      </c>
      <c r="F18" s="104">
        <v>0.76842999999999995</v>
      </c>
      <c r="G18" s="104">
        <v>0.68945999999999996</v>
      </c>
      <c r="H18" s="104">
        <v>7.2569999999999996E-2</v>
      </c>
      <c r="I18" s="104">
        <v>0.41738999999999998</v>
      </c>
    </row>
    <row r="19" spans="2:9" x14ac:dyDescent="0.25">
      <c r="B19" s="72" t="s">
        <v>100</v>
      </c>
      <c r="C19" s="73" t="s">
        <v>101</v>
      </c>
      <c r="D19" s="104">
        <v>0</v>
      </c>
      <c r="E19" s="104">
        <v>0.20907999999999999</v>
      </c>
      <c r="F19" s="104">
        <v>0.10897999999999999</v>
      </c>
      <c r="G19" s="104">
        <v>6.3909999999999995E-2</v>
      </c>
      <c r="H19" s="104">
        <v>1.98E-3</v>
      </c>
      <c r="I19" s="104">
        <v>8.8719999999999993E-2</v>
      </c>
    </row>
    <row r="20" spans="2:9" x14ac:dyDescent="0.25">
      <c r="B20" s="72" t="s">
        <v>102</v>
      </c>
      <c r="C20" s="73" t="s">
        <v>103</v>
      </c>
      <c r="D20" s="104">
        <v>0</v>
      </c>
      <c r="E20" s="104">
        <v>0.14437</v>
      </c>
      <c r="F20" s="104">
        <v>3.1910000000000001E-2</v>
      </c>
      <c r="G20" s="104">
        <v>1.0710000000000001E-2</v>
      </c>
      <c r="H20" s="104">
        <v>8.0000000000000007E-5</v>
      </c>
      <c r="I20" s="104">
        <v>4.8169999999999998E-2</v>
      </c>
    </row>
    <row r="21" spans="2:9" x14ac:dyDescent="0.25">
      <c r="B21" s="72" t="s">
        <v>104</v>
      </c>
      <c r="C21" s="73" t="s">
        <v>105</v>
      </c>
      <c r="D21" s="104">
        <v>0</v>
      </c>
      <c r="E21" s="104">
        <v>3.986E-2</v>
      </c>
      <c r="F21" s="104">
        <v>6.1999999999999998E-3</v>
      </c>
      <c r="G21" s="104">
        <v>1.42E-3</v>
      </c>
      <c r="H21" s="104">
        <v>0</v>
      </c>
      <c r="I21" s="104">
        <v>6.1700000000000001E-3</v>
      </c>
    </row>
    <row r="22" spans="2:9" x14ac:dyDescent="0.25">
      <c r="B22" s="72" t="s">
        <v>106</v>
      </c>
      <c r="C22" s="73" t="s">
        <v>107</v>
      </c>
      <c r="D22" s="104">
        <v>0</v>
      </c>
      <c r="E22" s="104">
        <v>1.7829999999999999E-2</v>
      </c>
      <c r="F22" s="104">
        <v>1.01E-3</v>
      </c>
      <c r="G22" s="104">
        <v>1.2999999999999999E-4</v>
      </c>
      <c r="H22" s="104">
        <v>3.0000000000000001E-5</v>
      </c>
      <c r="I22" s="104">
        <v>2.7899999999999999E-3</v>
      </c>
    </row>
    <row r="23" spans="2:9" x14ac:dyDescent="0.25">
      <c r="B23" s="72" t="s">
        <v>108</v>
      </c>
      <c r="C23" s="73" t="s">
        <v>109</v>
      </c>
      <c r="D23" s="104">
        <v>1</v>
      </c>
      <c r="E23" s="104">
        <v>0</v>
      </c>
      <c r="F23" s="104">
        <v>0</v>
      </c>
      <c r="G23" s="104">
        <v>0</v>
      </c>
      <c r="H23" s="104">
        <v>0</v>
      </c>
      <c r="I23" s="104">
        <v>0</v>
      </c>
    </row>
    <row r="24" spans="2:9" x14ac:dyDescent="0.25">
      <c r="B24" s="127" t="s">
        <v>313</v>
      </c>
      <c r="C24" s="127"/>
      <c r="D24" s="105">
        <f t="shared" ref="D24:I24" si="0">SUM(D17:D23)</f>
        <v>1</v>
      </c>
      <c r="E24" s="105">
        <f t="shared" si="0"/>
        <v>1</v>
      </c>
      <c r="F24" s="105">
        <f t="shared" si="0"/>
        <v>0.99999999999999989</v>
      </c>
      <c r="G24" s="105">
        <f t="shared" si="0"/>
        <v>0.99999999999999989</v>
      </c>
      <c r="H24" s="105">
        <f t="shared" si="0"/>
        <v>1</v>
      </c>
      <c r="I24" s="105">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H35" sqref="H35"/>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4" t="s">
        <v>10</v>
      </c>
      <c r="C3" s="54" t="s">
        <v>77</v>
      </c>
      <c r="D3" s="54" t="s">
        <v>85</v>
      </c>
    </row>
    <row r="4" spans="2:4" x14ac:dyDescent="0.25">
      <c r="B4" s="47" t="s">
        <v>11</v>
      </c>
      <c r="C4" s="69">
        <v>1999</v>
      </c>
      <c r="D4" s="69">
        <f>C4*(1+'Assumed Values'!$C$8)^(2015-2013)</f>
        <v>2083.1541467275511</v>
      </c>
    </row>
    <row r="5" spans="2:4" x14ac:dyDescent="0.25">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8"/>
      <c r="C2" s="38"/>
      <c r="D2" s="38"/>
      <c r="E2" s="38"/>
      <c r="F2" s="38"/>
      <c r="G2" s="38"/>
      <c r="H2" s="38"/>
      <c r="I2" s="38"/>
      <c r="J2" s="38"/>
      <c r="K2" s="38"/>
      <c r="L2" s="38"/>
      <c r="M2" s="38"/>
      <c r="N2" s="38"/>
    </row>
    <row r="3" spans="1:16" x14ac:dyDescent="0.25">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25">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25">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25">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25">
      <c r="A8" s="43" t="s">
        <v>40</v>
      </c>
    </row>
    <row r="9" spans="1:16" x14ac:dyDescent="0.25">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B34" sqref="B34:B35"/>
    </sheetView>
  </sheetViews>
  <sheetFormatPr defaultRowHeight="15" x14ac:dyDescent="0.25"/>
  <cols>
    <col min="2" max="2" width="24.28515625" bestFit="1" customWidth="1"/>
    <col min="3" max="3" width="7.5703125" bestFit="1" customWidth="1"/>
    <col min="4" max="5" width="6.85546875" bestFit="1" customWidth="1"/>
  </cols>
  <sheetData>
    <row r="2" spans="2:5" x14ac:dyDescent="0.25">
      <c r="B2" s="100" t="s">
        <v>300</v>
      </c>
      <c r="C2" s="101">
        <f>D2-1</f>
        <v>2011</v>
      </c>
      <c r="D2" s="101">
        <f>E2-1</f>
        <v>2012</v>
      </c>
      <c r="E2" s="101">
        <f>MAX(INDEX(CRASH!1:1048576,,MATCH("Year",CRASH!1:1,0)))</f>
        <v>2013</v>
      </c>
    </row>
    <row r="3" spans="2:5" x14ac:dyDescent="0.25">
      <c r="B3" s="12" t="s">
        <v>145</v>
      </c>
      <c r="C3" s="16">
        <f>SUMIFS(INDEX(CRASH!$1:$1048576,,MATCH($B3,CRASH!$1:$1,0)),INDEX(CRASH!$1:$1048576,,MATCH("Year",CRASH!$1:$1,0)),C$2)</f>
        <v>0</v>
      </c>
      <c r="D3" s="16">
        <f>SUMIFS(INDEX(CRASH!$1:$1048576,,MATCH($B3,CRASH!$1:$1,0)),INDEX(CRASH!$1:$1048576,,MATCH("Year",CRASH!$1:$1,0)),D$2)</f>
        <v>0</v>
      </c>
      <c r="E3" s="16">
        <f>SUMIFS(INDEX(CRASH!$1:$1048576,,MATCH($B3,CRASH!$1:$1,0)),INDEX(CRASH!$1:$1048576,,MATCH("Year",CRASH!$1:$1,0)),E$2)</f>
        <v>0</v>
      </c>
    </row>
    <row r="4" spans="2:5" x14ac:dyDescent="0.25">
      <c r="B4" s="12" t="s">
        <v>151</v>
      </c>
      <c r="C4" s="16">
        <f>SUMIFS(INDEX(CRASH!$1:$1048576,,MATCH($B4,CRASH!$1:$1,0)),INDEX(CRASH!$1:$1048576,,MATCH("Year",CRASH!$1:$1,0)),C$2)</f>
        <v>0</v>
      </c>
      <c r="D4" s="16">
        <f>SUMIFS(INDEX(CRASH!$1:$1048576,,MATCH($B4,CRASH!$1:$1,0)),INDEX(CRASH!$1:$1048576,,MATCH("Year",CRASH!$1:$1,0)),D$2)</f>
        <v>0</v>
      </c>
      <c r="E4" s="16">
        <f>SUMIFS(INDEX(CRASH!$1:$1048576,,MATCH($B4,CRASH!$1:$1,0)),INDEX(CRASH!$1:$1048576,,MATCH("Year",CRASH!$1:$1,0)),E$2)</f>
        <v>1</v>
      </c>
    </row>
    <row r="5" spans="2:5" x14ac:dyDescent="0.25">
      <c r="B5" s="12" t="s">
        <v>150</v>
      </c>
      <c r="C5" s="16">
        <f>SUMIFS(INDEX(CRASH!$1:$1048576,,MATCH($B5,CRASH!$1:$1,0)),INDEX(CRASH!$1:$1048576,,MATCH("Year",CRASH!$1:$1,0)),C$2)</f>
        <v>0</v>
      </c>
      <c r="D5" s="16">
        <f>SUMIFS(INDEX(CRASH!$1:$1048576,,MATCH($B5,CRASH!$1:$1,0)),INDEX(CRASH!$1:$1048576,,MATCH("Year",CRASH!$1:$1,0)),D$2)</f>
        <v>3</v>
      </c>
      <c r="E5" s="16">
        <f>SUMIFS(INDEX(CRASH!$1:$1048576,,MATCH($B5,CRASH!$1:$1,0)),INDEX(CRASH!$1:$1048576,,MATCH("Year",CRASH!$1:$1,0)),E$2)</f>
        <v>0</v>
      </c>
    </row>
    <row r="6" spans="2:5" x14ac:dyDescent="0.25">
      <c r="B6" s="12" t="s">
        <v>149</v>
      </c>
      <c r="C6" s="16">
        <f>SUMIFS(INDEX(CRASH!$1:$1048576,,MATCH($B6,CRASH!$1:$1,0)),INDEX(CRASH!$1:$1048576,,MATCH("Year",CRASH!$1:$1,0)),C$2)</f>
        <v>0</v>
      </c>
      <c r="D6" s="16">
        <f>SUMIFS(INDEX(CRASH!$1:$1048576,,MATCH($B6,CRASH!$1:$1,0)),INDEX(CRASH!$1:$1048576,,MATCH("Year",CRASH!$1:$1,0)),D$2)</f>
        <v>0</v>
      </c>
      <c r="E6" s="16">
        <f>SUMIFS(INDEX(CRASH!$1:$1048576,,MATCH($B6,CRASH!$1:$1,0)),INDEX(CRASH!$1:$1048576,,MATCH("Year",CRASH!$1:$1,0)),E$2)</f>
        <v>0</v>
      </c>
    </row>
    <row r="7" spans="2:5" x14ac:dyDescent="0.25">
      <c r="B7" s="12" t="s">
        <v>148</v>
      </c>
      <c r="C7" s="16">
        <f>SUMIFS(INDEX(CRASH!$1:$1048576,,MATCH($B7,CRASH!$1:$1,0)),INDEX(CRASH!$1:$1048576,,MATCH("Year",CRASH!$1:$1,0)),C$2)</f>
        <v>2</v>
      </c>
      <c r="D7" s="16">
        <f>SUMIFS(INDEX(CRASH!$1:$1048576,,MATCH($B7,CRASH!$1:$1,0)),INDEX(CRASH!$1:$1048576,,MATCH("Year",CRASH!$1:$1,0)),D$2)</f>
        <v>0</v>
      </c>
      <c r="E7" s="16">
        <f>SUMIFS(INDEX(CRASH!$1:$1048576,,MATCH($B7,CRASH!$1:$1,0)),INDEX(CRASH!$1:$1048576,,MATCH("Year",CRASH!$1:$1,0)),E$2)</f>
        <v>8</v>
      </c>
    </row>
    <row r="8" spans="2:5" x14ac:dyDescent="0.25">
      <c r="B8" s="12" t="s">
        <v>147</v>
      </c>
      <c r="C8" s="16">
        <f>SUMIFS(INDEX(CRASH!$1:$1048576,,MATCH($B8,CRASH!$1:$1,0)),INDEX(CRASH!$1:$1048576,,MATCH("Year",CRASH!$1:$1,0)),C$2)</f>
        <v>0</v>
      </c>
      <c r="D8" s="16">
        <f>SUMIFS(INDEX(CRASH!$1:$1048576,,MATCH($B8,CRASH!$1:$1,0)),INDEX(CRASH!$1:$1048576,,MATCH("Year",CRASH!$1:$1,0)),D$2)</f>
        <v>0</v>
      </c>
      <c r="E8" s="16">
        <f>SUMIFS(INDEX(CRASH!$1:$1048576,,MATCH($B8,CRASH!$1:$1,0)),INDEX(CRASH!$1:$1048576,,MATCH("Year",CRASH!$1:$1,0)),E$2)</f>
        <v>0</v>
      </c>
    </row>
    <row r="10" spans="2:5" x14ac:dyDescent="0.25">
      <c r="B10" s="102" t="s">
        <v>310</v>
      </c>
      <c r="C10" s="73" t="s">
        <v>301</v>
      </c>
      <c r="D10" s="73" t="s">
        <v>303</v>
      </c>
      <c r="E10" s="73" t="s">
        <v>302</v>
      </c>
    </row>
    <row r="11" spans="2:5" x14ac:dyDescent="0.25">
      <c r="C11" s="73">
        <v>0</v>
      </c>
      <c r="D11" s="73">
        <v>0</v>
      </c>
      <c r="E11" s="73">
        <v>0</v>
      </c>
    </row>
    <row r="12" spans="2:5" x14ac:dyDescent="0.25">
      <c r="C12" s="73">
        <v>0</v>
      </c>
      <c r="D12" s="73">
        <v>0</v>
      </c>
      <c r="E12" s="73">
        <v>0</v>
      </c>
    </row>
    <row r="13" spans="2:5" x14ac:dyDescent="0.25">
      <c r="C13" s="73">
        <v>0</v>
      </c>
      <c r="D13" s="73">
        <v>0</v>
      </c>
      <c r="E13" s="73">
        <v>0</v>
      </c>
    </row>
    <row r="14" spans="2:5" x14ac:dyDescent="0.25">
      <c r="C14" s="73">
        <v>0</v>
      </c>
      <c r="D14" s="73">
        <v>0</v>
      </c>
      <c r="E14" s="73">
        <v>0</v>
      </c>
    </row>
    <row r="15" spans="2:5" x14ac:dyDescent="0.25">
      <c r="C15" s="73">
        <v>0</v>
      </c>
      <c r="D15" s="73">
        <v>0</v>
      </c>
      <c r="E15" s="73">
        <v>0</v>
      </c>
    </row>
    <row r="16" spans="2:5" x14ac:dyDescent="0.25">
      <c r="C16" s="73">
        <v>0</v>
      </c>
      <c r="D16" s="73">
        <v>0</v>
      </c>
      <c r="E16" s="7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Jim Webb</cp:lastModifiedBy>
  <cp:lastPrinted>2014-11-11T16:55:33Z</cp:lastPrinted>
  <dcterms:created xsi:type="dcterms:W3CDTF">2012-07-25T15:48:32Z</dcterms:created>
  <dcterms:modified xsi:type="dcterms:W3CDTF">2015-01-08T19:58:33Z</dcterms:modified>
</cp:coreProperties>
</file>