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CBA" sheetId="4" r:id="rId1"/>
    <sheet name="Accident Prevention" sheetId="5" r:id="rId2"/>
    <sheet name="Time Savings" sheetId="7" r:id="rId3"/>
    <sheet name="Cost Estimate" sheetId="9" r:id="rId4"/>
    <sheet name="Sheet1" sheetId="8" r:id="rId5"/>
  </sheets>
  <externalReferences>
    <externalReference r:id="rId6"/>
  </externalReferences>
  <definedNames>
    <definedName name="_xlnm.Print_Area" localSheetId="1">'Accident Prevention'!$B$1:$H$55</definedName>
    <definedName name="_xlnm.Print_Area" localSheetId="0">CBA!$A$1:$AE$73</definedName>
    <definedName name="_xlnm.Print_Area" localSheetId="2">'Time Savings'!$B$1:$I$40</definedName>
  </definedNames>
  <calcPr calcId="145621"/>
</workbook>
</file>

<file path=xl/calcChain.xml><?xml version="1.0" encoding="utf-8"?>
<calcChain xmlns="http://schemas.openxmlformats.org/spreadsheetml/2006/main">
  <c r="G40" i="9" l="1"/>
  <c r="G39" i="9"/>
  <c r="G38" i="9"/>
  <c r="G37" i="9"/>
  <c r="G36" i="9"/>
  <c r="G35" i="9"/>
  <c r="G34" i="9"/>
  <c r="G32" i="9"/>
  <c r="G30" i="9"/>
  <c r="G25" i="9"/>
  <c r="G22" i="9"/>
  <c r="G19" i="9"/>
  <c r="G17" i="9"/>
  <c r="G15" i="9"/>
  <c r="G13" i="9"/>
  <c r="A12" i="9"/>
  <c r="A14" i="9" s="1"/>
  <c r="A16" i="9" s="1"/>
  <c r="A18" i="9" s="1"/>
  <c r="A20" i="9" s="1"/>
  <c r="A23" i="9" s="1"/>
  <c r="A26" i="9" s="1"/>
  <c r="A31" i="9" s="1"/>
  <c r="A33" i="9" s="1"/>
  <c r="A35" i="9" s="1"/>
  <c r="A36" i="9" s="1"/>
  <c r="A37" i="9" s="1"/>
  <c r="A38" i="9" s="1"/>
  <c r="A39" i="9" s="1"/>
  <c r="A40" i="9" s="1"/>
  <c r="G11" i="9"/>
  <c r="A10" i="9"/>
  <c r="G9" i="9"/>
  <c r="F7" i="9" s="1"/>
  <c r="G7" i="9" s="1"/>
  <c r="G41" i="9" s="1"/>
  <c r="G42" i="9" l="1"/>
  <c r="G43" i="9"/>
  <c r="G46" i="9" l="1"/>
  <c r="G45" i="9"/>
  <c r="G44" i="9"/>
  <c r="G50" i="9" s="1"/>
  <c r="G47" i="9"/>
  <c r="B64" i="4" l="1"/>
  <c r="B65" i="4" s="1"/>
  <c r="G24" i="5" l="1"/>
  <c r="F24" i="5"/>
  <c r="E24" i="5"/>
  <c r="D24" i="5"/>
  <c r="C24" i="5"/>
  <c r="AD13" i="4" l="1"/>
  <c r="AD44" i="4" s="1"/>
  <c r="AB13" i="4"/>
  <c r="AB44" i="4" s="1"/>
  <c r="I10" i="4"/>
  <c r="K10" i="4" s="1"/>
  <c r="M10" i="4" s="1"/>
  <c r="O10" i="4" s="1"/>
  <c r="Q10" i="4" s="1"/>
  <c r="S10" i="4" s="1"/>
  <c r="U10" i="4" s="1"/>
  <c r="W10" i="4" s="1"/>
  <c r="Y10" i="4" s="1"/>
  <c r="AA10" i="4" s="1"/>
  <c r="D38" i="4"/>
  <c r="E38" i="4" s="1"/>
  <c r="F38" i="4" s="1"/>
  <c r="G38" i="4" s="1"/>
  <c r="H38" i="4" s="1"/>
  <c r="I38" i="4" s="1"/>
  <c r="J38" i="4" s="1"/>
  <c r="K38" i="4" s="1"/>
  <c r="L38" i="4" s="1"/>
  <c r="M38" i="4" s="1"/>
  <c r="N38" i="4" s="1"/>
  <c r="O38" i="4" s="1"/>
  <c r="P38" i="4" s="1"/>
  <c r="Q38" i="4" s="1"/>
  <c r="R38" i="4" s="1"/>
  <c r="S38" i="4" s="1"/>
  <c r="T38" i="4" s="1"/>
  <c r="U38" i="4" s="1"/>
  <c r="V38" i="4" s="1"/>
  <c r="W38" i="4" s="1"/>
  <c r="X38" i="4" s="1"/>
  <c r="Y38" i="4" s="1"/>
  <c r="Z38" i="4" s="1"/>
  <c r="AA38" i="4" s="1"/>
  <c r="AB38" i="4" s="1"/>
  <c r="AC38" i="4" s="1"/>
  <c r="AD38" i="4" s="1"/>
  <c r="AE38" i="4" s="1"/>
  <c r="AE25" i="4" s="1"/>
  <c r="C8" i="7"/>
  <c r="C9" i="7" s="1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D37" i="4"/>
  <c r="E37" i="4" s="1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  <c r="S37" i="4" s="1"/>
  <c r="T37" i="4" s="1"/>
  <c r="U37" i="4" s="1"/>
  <c r="V37" i="4" s="1"/>
  <c r="W37" i="4" s="1"/>
  <c r="X37" i="4" s="1"/>
  <c r="Y37" i="4" s="1"/>
  <c r="Z37" i="4" s="1"/>
  <c r="AA37" i="4" s="1"/>
  <c r="AB37" i="4" s="1"/>
  <c r="AC37" i="4" s="1"/>
  <c r="AD37" i="4" s="1"/>
  <c r="AE37" i="4" s="1"/>
  <c r="B27" i="5"/>
  <c r="H11" i="7"/>
  <c r="I11" i="7" s="1"/>
  <c r="H10" i="7"/>
  <c r="I10" i="7" s="1"/>
  <c r="H9" i="7"/>
  <c r="I9" i="7" s="1"/>
  <c r="M15" i="7"/>
  <c r="N15" i="7" s="1"/>
  <c r="F13" i="5"/>
  <c r="G13" i="5" s="1"/>
  <c r="H13" i="5" s="1"/>
  <c r="F12" i="5"/>
  <c r="G12" i="5" s="1"/>
  <c r="H12" i="5" s="1"/>
  <c r="F11" i="5"/>
  <c r="E21" i="5" s="1"/>
  <c r="F10" i="5"/>
  <c r="E20" i="5" s="1"/>
  <c r="F9" i="5"/>
  <c r="E19" i="5" s="1"/>
  <c r="F8" i="5"/>
  <c r="E18" i="5" s="1"/>
  <c r="N8" i="7" l="1"/>
  <c r="N11" i="7"/>
  <c r="N9" i="7"/>
  <c r="N12" i="7"/>
  <c r="N7" i="7"/>
  <c r="N13" i="7"/>
  <c r="N10" i="7"/>
  <c r="N14" i="7"/>
  <c r="C26" i="5"/>
  <c r="C27" i="5" s="1"/>
  <c r="C25" i="5"/>
  <c r="D26" i="5"/>
  <c r="D27" i="5" s="1"/>
  <c r="D25" i="5"/>
  <c r="F26" i="5"/>
  <c r="F27" i="5" s="1"/>
  <c r="F25" i="5"/>
  <c r="E26" i="5"/>
  <c r="E27" i="5" s="1"/>
  <c r="E25" i="5"/>
  <c r="B28" i="5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G10" i="5"/>
  <c r="H10" i="5" s="1"/>
  <c r="G8" i="5"/>
  <c r="H8" i="5" s="1"/>
  <c r="G9" i="5"/>
  <c r="H9" i="5" s="1"/>
  <c r="G11" i="5"/>
  <c r="H11" i="5" s="1"/>
  <c r="AC10" i="4"/>
  <c r="AA13" i="4"/>
  <c r="AA44" i="4" s="1"/>
  <c r="E25" i="4"/>
  <c r="I25" i="4"/>
  <c r="M25" i="4"/>
  <c r="Q25" i="4"/>
  <c r="U25" i="4"/>
  <c r="Y25" i="4"/>
  <c r="AC25" i="4"/>
  <c r="F25" i="4"/>
  <c r="J25" i="4"/>
  <c r="N25" i="4"/>
  <c r="R25" i="4"/>
  <c r="V25" i="4"/>
  <c r="Z25" i="4"/>
  <c r="AD25" i="4"/>
  <c r="G25" i="4"/>
  <c r="K25" i="4"/>
  <c r="O25" i="4"/>
  <c r="S25" i="4"/>
  <c r="W25" i="4"/>
  <c r="AA25" i="4"/>
  <c r="H25" i="4"/>
  <c r="L25" i="4"/>
  <c r="P25" i="4"/>
  <c r="T25" i="4"/>
  <c r="X25" i="4"/>
  <c r="AB25" i="4"/>
  <c r="E24" i="4"/>
  <c r="E22" i="5"/>
  <c r="Q9" i="7" l="1"/>
  <c r="Q7" i="7"/>
  <c r="Q8" i="7"/>
  <c r="F28" i="5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E28" i="5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D28" i="5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C28" i="5"/>
  <c r="G27" i="5"/>
  <c r="G25" i="5"/>
  <c r="G26" i="5"/>
  <c r="AE10" i="4"/>
  <c r="AE13" i="4" s="1"/>
  <c r="AE44" i="4" s="1"/>
  <c r="AC13" i="4"/>
  <c r="AC44" i="4" s="1"/>
  <c r="F24" i="4"/>
  <c r="C36" i="4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F12" i="7" l="1"/>
  <c r="G12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Q10" i="7"/>
  <c r="C29" i="5"/>
  <c r="G28" i="5"/>
  <c r="AB36" i="4"/>
  <c r="AC36" i="4" s="1"/>
  <c r="AD36" i="4" s="1"/>
  <c r="AE36" i="4" s="1"/>
  <c r="AE23" i="4" s="1"/>
  <c r="AA23" i="4"/>
  <c r="G24" i="4"/>
  <c r="B22" i="4"/>
  <c r="C22" i="4" s="1"/>
  <c r="D22" i="4" s="1"/>
  <c r="E22" i="4" s="1"/>
  <c r="F22" i="4" s="1"/>
  <c r="G22" i="4" s="1"/>
  <c r="H22" i="4" s="1"/>
  <c r="I22" i="4" s="1"/>
  <c r="J22" i="4" s="1"/>
  <c r="K22" i="4" s="1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Y22" i="4" s="1"/>
  <c r="Z22" i="4" s="1"/>
  <c r="AA22" i="4" s="1"/>
  <c r="AB22" i="4" s="1"/>
  <c r="AC22" i="4" s="1"/>
  <c r="AD22" i="4" s="1"/>
  <c r="AE22" i="4" s="1"/>
  <c r="B43" i="4"/>
  <c r="B50" i="4" s="1"/>
  <c r="B51" i="4" s="1"/>
  <c r="C23" i="4"/>
  <c r="D27" i="4"/>
  <c r="D29" i="4" s="1"/>
  <c r="D45" i="4" s="1"/>
  <c r="B27" i="4"/>
  <c r="B29" i="4" s="1"/>
  <c r="B45" i="4" s="1"/>
  <c r="B68" i="4" s="1"/>
  <c r="E27" i="4"/>
  <c r="E29" i="4" s="1"/>
  <c r="E45" i="4" s="1"/>
  <c r="Z13" i="4"/>
  <c r="Z44" i="4" s="1"/>
  <c r="Y13" i="4"/>
  <c r="Y44" i="4" s="1"/>
  <c r="X13" i="4"/>
  <c r="X44" i="4" s="1"/>
  <c r="W13" i="4"/>
  <c r="W44" i="4" s="1"/>
  <c r="V13" i="4"/>
  <c r="V44" i="4" s="1"/>
  <c r="U13" i="4"/>
  <c r="U44" i="4" s="1"/>
  <c r="T13" i="4"/>
  <c r="T44" i="4" s="1"/>
  <c r="S13" i="4"/>
  <c r="S44" i="4" s="1"/>
  <c r="R13" i="4"/>
  <c r="R44" i="4" s="1"/>
  <c r="Q13" i="4"/>
  <c r="Q44" i="4" s="1"/>
  <c r="P13" i="4"/>
  <c r="P44" i="4" s="1"/>
  <c r="O13" i="4"/>
  <c r="O44" i="4" s="1"/>
  <c r="N13" i="4"/>
  <c r="N44" i="4" s="1"/>
  <c r="M13" i="4"/>
  <c r="M44" i="4" s="1"/>
  <c r="L13" i="4"/>
  <c r="L44" i="4" s="1"/>
  <c r="K13" i="4"/>
  <c r="K44" i="4" s="1"/>
  <c r="J13" i="4"/>
  <c r="J44" i="4" s="1"/>
  <c r="I13" i="4"/>
  <c r="I44" i="4" s="1"/>
  <c r="H13" i="4"/>
  <c r="H44" i="4" s="1"/>
  <c r="G13" i="4"/>
  <c r="G44" i="4" s="1"/>
  <c r="F13" i="4"/>
  <c r="F44" i="4" s="1"/>
  <c r="E13" i="4"/>
  <c r="E44" i="4" s="1"/>
  <c r="D13" i="4"/>
  <c r="D44" i="4" s="1"/>
  <c r="C13" i="4"/>
  <c r="C44" i="4" s="1"/>
  <c r="B13" i="4"/>
  <c r="B44" i="4" s="1"/>
  <c r="B67" i="4" s="1"/>
  <c r="C6" i="4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B69" i="4" l="1"/>
  <c r="B70" i="4" s="1"/>
  <c r="H12" i="7"/>
  <c r="I12" i="7" s="1"/>
  <c r="C30" i="5"/>
  <c r="G29" i="5"/>
  <c r="H24" i="4"/>
  <c r="D46" i="4"/>
  <c r="B54" i="4"/>
  <c r="B53" i="4"/>
  <c r="B15" i="4"/>
  <c r="E46" i="4"/>
  <c r="B46" i="4"/>
  <c r="G23" i="4"/>
  <c r="C43" i="4"/>
  <c r="C27" i="4"/>
  <c r="C29" i="4" s="1"/>
  <c r="C45" i="4" s="1"/>
  <c r="C50" i="4" l="1"/>
  <c r="C51" i="4" s="1"/>
  <c r="C53" i="4" s="1"/>
  <c r="C64" i="4"/>
  <c r="C65" i="4" s="1"/>
  <c r="C67" i="4" s="1"/>
  <c r="C31" i="5"/>
  <c r="G30" i="5"/>
  <c r="I24" i="4"/>
  <c r="K23" i="4"/>
  <c r="B55" i="4"/>
  <c r="B56" i="4" s="1"/>
  <c r="C46" i="4"/>
  <c r="D43" i="4"/>
  <c r="F27" i="4"/>
  <c r="F29" i="4" s="1"/>
  <c r="F45" i="4" s="1"/>
  <c r="G27" i="4"/>
  <c r="G29" i="4" s="1"/>
  <c r="G45" i="4" s="1"/>
  <c r="H27" i="4"/>
  <c r="H29" i="4" s="1"/>
  <c r="H45" i="4" s="1"/>
  <c r="C54" i="4" l="1"/>
  <c r="C55" i="4" s="1"/>
  <c r="C56" i="4" s="1"/>
  <c r="C68" i="4"/>
  <c r="C69" i="4" s="1"/>
  <c r="C70" i="4" s="1"/>
  <c r="D50" i="4"/>
  <c r="D51" i="4" s="1"/>
  <c r="D53" i="4" s="1"/>
  <c r="D64" i="4"/>
  <c r="D65" i="4" s="1"/>
  <c r="D68" i="4" s="1"/>
  <c r="C32" i="5"/>
  <c r="G31" i="5"/>
  <c r="J24" i="4"/>
  <c r="O23" i="4"/>
  <c r="S23" i="4"/>
  <c r="F46" i="4"/>
  <c r="H46" i="4"/>
  <c r="D54" i="4"/>
  <c r="G46" i="4"/>
  <c r="E43" i="4"/>
  <c r="I27" i="4"/>
  <c r="I29" i="4" s="1"/>
  <c r="I45" i="4" s="1"/>
  <c r="E50" i="4" l="1"/>
  <c r="E51" i="4" s="1"/>
  <c r="E54" i="4" s="1"/>
  <c r="E64" i="4"/>
  <c r="E65" i="4" s="1"/>
  <c r="E68" i="4" s="1"/>
  <c r="D67" i="4"/>
  <c r="D69" i="4" s="1"/>
  <c r="D70" i="4" s="1"/>
  <c r="D55" i="4"/>
  <c r="D56" i="4" s="1"/>
  <c r="C33" i="5"/>
  <c r="G32" i="5"/>
  <c r="K24" i="4"/>
  <c r="W23" i="4"/>
  <c r="E53" i="4"/>
  <c r="I46" i="4"/>
  <c r="F43" i="4"/>
  <c r="J27" i="4"/>
  <c r="J29" i="4" s="1"/>
  <c r="J45" i="4" s="1"/>
  <c r="F50" i="4" l="1"/>
  <c r="F51" i="4" s="1"/>
  <c r="F54" i="4" s="1"/>
  <c r="F64" i="4"/>
  <c r="F65" i="4" s="1"/>
  <c r="F68" i="4" s="1"/>
  <c r="E67" i="4"/>
  <c r="E69" i="4" s="1"/>
  <c r="E70" i="4" s="1"/>
  <c r="C34" i="5"/>
  <c r="G33" i="5"/>
  <c r="L24" i="4"/>
  <c r="L27" i="4" s="1"/>
  <c r="L29" i="4" s="1"/>
  <c r="L45" i="4" s="1"/>
  <c r="E55" i="4"/>
  <c r="E56" i="4" s="1"/>
  <c r="J46" i="4"/>
  <c r="F53" i="4"/>
  <c r="G43" i="4"/>
  <c r="K27" i="4"/>
  <c r="K29" i="4" s="1"/>
  <c r="K45" i="4" s="1"/>
  <c r="F67" i="4" l="1"/>
  <c r="F69" i="4" s="1"/>
  <c r="F70" i="4" s="1"/>
  <c r="G50" i="4"/>
  <c r="G51" i="4" s="1"/>
  <c r="G53" i="4" s="1"/>
  <c r="G64" i="4"/>
  <c r="G65" i="4" s="1"/>
  <c r="G68" i="4" s="1"/>
  <c r="C35" i="5"/>
  <c r="G34" i="5"/>
  <c r="M24" i="4"/>
  <c r="M27" i="4" s="1"/>
  <c r="M29" i="4" s="1"/>
  <c r="M45" i="4" s="1"/>
  <c r="L46" i="4"/>
  <c r="F55" i="4"/>
  <c r="F56" i="4" s="1"/>
  <c r="K46" i="4"/>
  <c r="H43" i="4"/>
  <c r="G67" i="4" l="1"/>
  <c r="H50" i="4"/>
  <c r="H51" i="4" s="1"/>
  <c r="H54" i="4" s="1"/>
  <c r="H64" i="4"/>
  <c r="H65" i="4" s="1"/>
  <c r="H68" i="4" s="1"/>
  <c r="G54" i="4"/>
  <c r="G55" i="4" s="1"/>
  <c r="G56" i="4" s="1"/>
  <c r="C36" i="5"/>
  <c r="G35" i="5"/>
  <c r="N24" i="4"/>
  <c r="N27" i="4" s="1"/>
  <c r="N29" i="4" s="1"/>
  <c r="N45" i="4" s="1"/>
  <c r="M46" i="4"/>
  <c r="I43" i="4"/>
  <c r="H53" i="4" l="1"/>
  <c r="G69" i="4"/>
  <c r="G70" i="4" s="1"/>
  <c r="I50" i="4"/>
  <c r="I51" i="4" s="1"/>
  <c r="I53" i="4" s="1"/>
  <c r="I64" i="4"/>
  <c r="I65" i="4" s="1"/>
  <c r="I68" i="4" s="1"/>
  <c r="H67" i="4"/>
  <c r="C37" i="5"/>
  <c r="G36" i="5"/>
  <c r="O24" i="4"/>
  <c r="O27" i="4" s="1"/>
  <c r="O29" i="4" s="1"/>
  <c r="O45" i="4" s="1"/>
  <c r="H55" i="4"/>
  <c r="H56" i="4" s="1"/>
  <c r="N46" i="4"/>
  <c r="J43" i="4"/>
  <c r="J50" i="4" l="1"/>
  <c r="J51" i="4" s="1"/>
  <c r="J54" i="4" s="1"/>
  <c r="J64" i="4"/>
  <c r="J65" i="4" s="1"/>
  <c r="J68" i="4" s="1"/>
  <c r="I54" i="4"/>
  <c r="H69" i="4"/>
  <c r="H70" i="4" s="1"/>
  <c r="I67" i="4"/>
  <c r="C38" i="5"/>
  <c r="G37" i="5"/>
  <c r="P24" i="4"/>
  <c r="P27" i="4" s="1"/>
  <c r="P29" i="4" s="1"/>
  <c r="P45" i="4" s="1"/>
  <c r="J53" i="4"/>
  <c r="O46" i="4"/>
  <c r="I55" i="4"/>
  <c r="I56" i="4" s="1"/>
  <c r="K43" i="4"/>
  <c r="J67" i="4" l="1"/>
  <c r="K50" i="4"/>
  <c r="K51" i="4" s="1"/>
  <c r="K53" i="4" s="1"/>
  <c r="K64" i="4"/>
  <c r="K65" i="4" s="1"/>
  <c r="K68" i="4" s="1"/>
  <c r="I69" i="4"/>
  <c r="I70" i="4" s="1"/>
  <c r="C39" i="5"/>
  <c r="G38" i="5"/>
  <c r="Q24" i="4"/>
  <c r="Q27" i="4" s="1"/>
  <c r="Q29" i="4" s="1"/>
  <c r="Q45" i="4" s="1"/>
  <c r="P46" i="4"/>
  <c r="J55" i="4"/>
  <c r="J56" i="4" s="1"/>
  <c r="L43" i="4"/>
  <c r="K54" i="4" l="1"/>
  <c r="K55" i="4" s="1"/>
  <c r="K56" i="4" s="1"/>
  <c r="J69" i="4"/>
  <c r="J70" i="4" s="1"/>
  <c r="L50" i="4"/>
  <c r="L51" i="4" s="1"/>
  <c r="L53" i="4" s="1"/>
  <c r="L64" i="4"/>
  <c r="L65" i="4" s="1"/>
  <c r="L68" i="4" s="1"/>
  <c r="K67" i="4"/>
  <c r="C40" i="5"/>
  <c r="G39" i="5"/>
  <c r="R24" i="4"/>
  <c r="R27" i="4" s="1"/>
  <c r="R29" i="4" s="1"/>
  <c r="R45" i="4" s="1"/>
  <c r="Q46" i="4"/>
  <c r="M43" i="4"/>
  <c r="L67" i="4" l="1"/>
  <c r="M50" i="4"/>
  <c r="M51" i="4" s="1"/>
  <c r="M64" i="4"/>
  <c r="M65" i="4" s="1"/>
  <c r="M68" i="4" s="1"/>
  <c r="L54" i="4"/>
  <c r="L55" i="4" s="1"/>
  <c r="L56" i="4" s="1"/>
  <c r="K69" i="4"/>
  <c r="K70" i="4" s="1"/>
  <c r="C41" i="5"/>
  <c r="G40" i="5"/>
  <c r="S24" i="4"/>
  <c r="S27" i="4" s="1"/>
  <c r="S29" i="4" s="1"/>
  <c r="S45" i="4" s="1"/>
  <c r="R46" i="4"/>
  <c r="M53" i="4"/>
  <c r="M54" i="4"/>
  <c r="N43" i="4"/>
  <c r="N50" i="4" l="1"/>
  <c r="N51" i="4" s="1"/>
  <c r="N53" i="4" s="1"/>
  <c r="N64" i="4"/>
  <c r="N65" i="4" s="1"/>
  <c r="N68" i="4" s="1"/>
  <c r="M67" i="4"/>
  <c r="L69" i="4"/>
  <c r="L70" i="4" s="1"/>
  <c r="C42" i="5"/>
  <c r="G41" i="5"/>
  <c r="T24" i="4"/>
  <c r="T27" i="4" s="1"/>
  <c r="T29" i="4" s="1"/>
  <c r="T45" i="4" s="1"/>
  <c r="M55" i="4"/>
  <c r="M56" i="4" s="1"/>
  <c r="S46" i="4"/>
  <c r="O43" i="4"/>
  <c r="N67" i="4" l="1"/>
  <c r="O50" i="4"/>
  <c r="O51" i="4" s="1"/>
  <c r="O64" i="4"/>
  <c r="O65" i="4" s="1"/>
  <c r="O68" i="4" s="1"/>
  <c r="N54" i="4"/>
  <c r="N55" i="4" s="1"/>
  <c r="N56" i="4" s="1"/>
  <c r="M69" i="4"/>
  <c r="M70" i="4" s="1"/>
  <c r="C43" i="5"/>
  <c r="G42" i="5"/>
  <c r="U24" i="4"/>
  <c r="U27" i="4" s="1"/>
  <c r="U29" i="4" s="1"/>
  <c r="U45" i="4" s="1"/>
  <c r="T46" i="4"/>
  <c r="O53" i="4"/>
  <c r="O54" i="4"/>
  <c r="P43" i="4"/>
  <c r="P50" i="4" l="1"/>
  <c r="P51" i="4" s="1"/>
  <c r="P53" i="4" s="1"/>
  <c r="P64" i="4"/>
  <c r="P65" i="4" s="1"/>
  <c r="P68" i="4" s="1"/>
  <c r="N69" i="4"/>
  <c r="N70" i="4" s="1"/>
  <c r="O67" i="4"/>
  <c r="C44" i="5"/>
  <c r="G43" i="5"/>
  <c r="V24" i="4"/>
  <c r="V27" i="4" s="1"/>
  <c r="V29" i="4" s="1"/>
  <c r="V45" i="4" s="1"/>
  <c r="O55" i="4"/>
  <c r="O56" i="4" s="1"/>
  <c r="U46" i="4"/>
  <c r="Q43" i="4"/>
  <c r="P54" i="4" l="1"/>
  <c r="Q50" i="4"/>
  <c r="Q51" i="4" s="1"/>
  <c r="Q53" i="4" s="1"/>
  <c r="Q64" i="4"/>
  <c r="Q65" i="4" s="1"/>
  <c r="Q68" i="4" s="1"/>
  <c r="P67" i="4"/>
  <c r="P69" i="4" s="1"/>
  <c r="O69" i="4"/>
  <c r="O70" i="4" s="1"/>
  <c r="C45" i="5"/>
  <c r="G44" i="5"/>
  <c r="W24" i="4"/>
  <c r="W27" i="4" s="1"/>
  <c r="W29" i="4" s="1"/>
  <c r="W45" i="4" s="1"/>
  <c r="P55" i="4"/>
  <c r="P56" i="4" s="1"/>
  <c r="V46" i="4"/>
  <c r="Q54" i="4"/>
  <c r="R43" i="4"/>
  <c r="P70" i="4" l="1"/>
  <c r="R50" i="4"/>
  <c r="R51" i="4" s="1"/>
  <c r="R54" i="4" s="1"/>
  <c r="R64" i="4"/>
  <c r="R65" i="4" s="1"/>
  <c r="R68" i="4" s="1"/>
  <c r="Q67" i="4"/>
  <c r="Q69" i="4" s="1"/>
  <c r="C46" i="5"/>
  <c r="G45" i="5"/>
  <c r="X24" i="4"/>
  <c r="X27" i="4" s="1"/>
  <c r="X29" i="4" s="1"/>
  <c r="X45" i="4" s="1"/>
  <c r="Q55" i="4"/>
  <c r="Q56" i="4" s="1"/>
  <c r="W46" i="4"/>
  <c r="R53" i="4"/>
  <c r="S43" i="4"/>
  <c r="Q70" i="4" l="1"/>
  <c r="R67" i="4"/>
  <c r="S50" i="4"/>
  <c r="S51" i="4" s="1"/>
  <c r="S54" i="4" s="1"/>
  <c r="S64" i="4"/>
  <c r="S65" i="4" s="1"/>
  <c r="S68" i="4" s="1"/>
  <c r="C47" i="5"/>
  <c r="G46" i="5"/>
  <c r="Y24" i="4"/>
  <c r="Y27" i="4" s="1"/>
  <c r="Y29" i="4" s="1"/>
  <c r="Y45" i="4" s="1"/>
  <c r="R55" i="4"/>
  <c r="R56" i="4" s="1"/>
  <c r="X46" i="4"/>
  <c r="T43" i="4"/>
  <c r="S53" i="4" l="1"/>
  <c r="T50" i="4"/>
  <c r="T51" i="4" s="1"/>
  <c r="T53" i="4" s="1"/>
  <c r="T64" i="4"/>
  <c r="T65" i="4" s="1"/>
  <c r="T68" i="4" s="1"/>
  <c r="R69" i="4"/>
  <c r="R70" i="4" s="1"/>
  <c r="S67" i="4"/>
  <c r="C48" i="5"/>
  <c r="G47" i="5"/>
  <c r="Z24" i="4"/>
  <c r="Z27" i="4" s="1"/>
  <c r="Z29" i="4" s="1"/>
  <c r="Z45" i="4" s="1"/>
  <c r="S55" i="4"/>
  <c r="S56" i="4" s="1"/>
  <c r="Y46" i="4"/>
  <c r="T54" i="4"/>
  <c r="U43" i="4"/>
  <c r="U50" i="4" l="1"/>
  <c r="U51" i="4" s="1"/>
  <c r="U53" i="4" s="1"/>
  <c r="U64" i="4"/>
  <c r="U65" i="4" s="1"/>
  <c r="U68" i="4" s="1"/>
  <c r="T67" i="4"/>
  <c r="T69" i="4" s="1"/>
  <c r="Z46" i="4"/>
  <c r="S69" i="4"/>
  <c r="S70" i="4" s="1"/>
  <c r="C49" i="5"/>
  <c r="G48" i="5"/>
  <c r="B31" i="4"/>
  <c r="AA24" i="4"/>
  <c r="AA27" i="4" s="1"/>
  <c r="AA29" i="4" s="1"/>
  <c r="AA45" i="4" s="1"/>
  <c r="T55" i="4"/>
  <c r="T56" i="4" s="1"/>
  <c r="V43" i="4"/>
  <c r="U54" i="4" l="1"/>
  <c r="U55" i="4" s="1"/>
  <c r="U56" i="4" s="1"/>
  <c r="T70" i="4"/>
  <c r="V50" i="4"/>
  <c r="V51" i="4" s="1"/>
  <c r="V53" i="4" s="1"/>
  <c r="V64" i="4"/>
  <c r="V65" i="4" s="1"/>
  <c r="V68" i="4" s="1"/>
  <c r="U67" i="4"/>
  <c r="AA46" i="4"/>
  <c r="C50" i="5"/>
  <c r="G49" i="5"/>
  <c r="AB24" i="4"/>
  <c r="AB27" i="4" s="1"/>
  <c r="AB29" i="4" s="1"/>
  <c r="AB45" i="4" s="1"/>
  <c r="V54" i="4"/>
  <c r="W43" i="4"/>
  <c r="W50" i="4" l="1"/>
  <c r="W51" i="4" s="1"/>
  <c r="W54" i="4" s="1"/>
  <c r="W64" i="4"/>
  <c r="W65" i="4" s="1"/>
  <c r="W68" i="4" s="1"/>
  <c r="V67" i="4"/>
  <c r="U69" i="4"/>
  <c r="U70" i="4" s="1"/>
  <c r="AB46" i="4"/>
  <c r="C51" i="5"/>
  <c r="G50" i="5"/>
  <c r="AC24" i="4"/>
  <c r="AC27" i="4" s="1"/>
  <c r="AC29" i="4" s="1"/>
  <c r="AC45" i="4" s="1"/>
  <c r="W53" i="4"/>
  <c r="V55" i="4"/>
  <c r="V56" i="4" s="1"/>
  <c r="X43" i="4"/>
  <c r="W67" i="4" l="1"/>
  <c r="X50" i="4"/>
  <c r="X51" i="4" s="1"/>
  <c r="X53" i="4" s="1"/>
  <c r="X64" i="4"/>
  <c r="X65" i="4" s="1"/>
  <c r="X68" i="4" s="1"/>
  <c r="V69" i="4"/>
  <c r="V70" i="4" s="1"/>
  <c r="AC46" i="4"/>
  <c r="C52" i="5"/>
  <c r="G51" i="5"/>
  <c r="AE24" i="4"/>
  <c r="AE27" i="4" s="1"/>
  <c r="AE29" i="4" s="1"/>
  <c r="AE45" i="4" s="1"/>
  <c r="AD24" i="4"/>
  <c r="AD27" i="4" s="1"/>
  <c r="AD29" i="4" s="1"/>
  <c r="AD45" i="4" s="1"/>
  <c r="W55" i="4"/>
  <c r="W56" i="4" s="1"/>
  <c r="Y43" i="4"/>
  <c r="X54" i="4" l="1"/>
  <c r="X55" i="4" s="1"/>
  <c r="X56" i="4" s="1"/>
  <c r="W69" i="4"/>
  <c r="W70" i="4" s="1"/>
  <c r="Y50" i="4"/>
  <c r="Y51" i="4" s="1"/>
  <c r="Y54" i="4" s="1"/>
  <c r="Y64" i="4"/>
  <c r="Y65" i="4" s="1"/>
  <c r="Y68" i="4" s="1"/>
  <c r="X67" i="4"/>
  <c r="AD46" i="4"/>
  <c r="AE46" i="4"/>
  <c r="C53" i="5"/>
  <c r="G52" i="5"/>
  <c r="Z43" i="4"/>
  <c r="Z64" i="4" s="1"/>
  <c r="Z65" i="4" s="1"/>
  <c r="Z68" i="4" s="1"/>
  <c r="B58" i="4" l="1"/>
  <c r="B72" i="4"/>
  <c r="Y53" i="4"/>
  <c r="Y67" i="4"/>
  <c r="Z67" i="4"/>
  <c r="Z69" i="4" s="1"/>
  <c r="X69" i="4"/>
  <c r="X70" i="4" s="1"/>
  <c r="C54" i="5"/>
  <c r="G53" i="5"/>
  <c r="Z50" i="4"/>
  <c r="Z51" i="4" s="1"/>
  <c r="Z53" i="4" s="1"/>
  <c r="AA43" i="4"/>
  <c r="AA64" i="4" s="1"/>
  <c r="AA65" i="4" s="1"/>
  <c r="AA68" i="4" s="1"/>
  <c r="Y55" i="4"/>
  <c r="Y56" i="4" s="1"/>
  <c r="AA67" i="4" l="1"/>
  <c r="Y69" i="4"/>
  <c r="Y70" i="4" s="1"/>
  <c r="Z70" i="4" s="1"/>
  <c r="B73" i="4" s="1"/>
  <c r="AB43" i="4"/>
  <c r="AB64" i="4" s="1"/>
  <c r="AB65" i="4" s="1"/>
  <c r="AB68" i="4" s="1"/>
  <c r="AA50" i="4"/>
  <c r="AA51" i="4" s="1"/>
  <c r="C55" i="5"/>
  <c r="G55" i="5" s="1"/>
  <c r="G54" i="5"/>
  <c r="Z54" i="4"/>
  <c r="Z55" i="4" s="1"/>
  <c r="Z56" i="4" s="1"/>
  <c r="AA69" i="4" l="1"/>
  <c r="AA70" i="4" s="1"/>
  <c r="AB67" i="4"/>
  <c r="AC43" i="4"/>
  <c r="AC64" i="4" s="1"/>
  <c r="AC65" i="4" s="1"/>
  <c r="AC68" i="4" s="1"/>
  <c r="AB50" i="4"/>
  <c r="AB51" i="4" s="1"/>
  <c r="AA53" i="4"/>
  <c r="AA54" i="4"/>
  <c r="AB69" i="4" l="1"/>
  <c r="AB70" i="4" s="1"/>
  <c r="AC67" i="4"/>
  <c r="AC69" i="4" s="1"/>
  <c r="AA55" i="4"/>
  <c r="AA56" i="4" s="1"/>
  <c r="AB53" i="4"/>
  <c r="AB54" i="4"/>
  <c r="AD43" i="4"/>
  <c r="AD64" i="4" s="1"/>
  <c r="AD65" i="4" s="1"/>
  <c r="AD68" i="4" s="1"/>
  <c r="AC50" i="4"/>
  <c r="AC51" i="4" s="1"/>
  <c r="AC70" i="4" l="1"/>
  <c r="AD67" i="4"/>
  <c r="AB55" i="4"/>
  <c r="AB56" i="4" s="1"/>
  <c r="AC53" i="4"/>
  <c r="AC54" i="4"/>
  <c r="AE43" i="4"/>
  <c r="AD50" i="4"/>
  <c r="AD51" i="4" s="1"/>
  <c r="AE50" i="4" l="1"/>
  <c r="AE51" i="4" s="1"/>
  <c r="AE53" i="4" s="1"/>
  <c r="AE64" i="4"/>
  <c r="AE65" i="4" s="1"/>
  <c r="AE68" i="4" s="1"/>
  <c r="AD69" i="4"/>
  <c r="AD70" i="4" s="1"/>
  <c r="AD53" i="4"/>
  <c r="AD54" i="4"/>
  <c r="AC55" i="4"/>
  <c r="AC56" i="4" s="1"/>
  <c r="AE54" i="4" l="1"/>
  <c r="AE55" i="4" s="1"/>
  <c r="AE67" i="4"/>
  <c r="AD55" i="4"/>
  <c r="AD56" i="4" s="1"/>
  <c r="AE56" i="4" l="1"/>
  <c r="B59" i="4" s="1"/>
  <c r="AE69" i="4"/>
  <c r="AE70" i="4" s="1"/>
</calcChain>
</file>

<file path=xl/comments1.xml><?xml version="1.0" encoding="utf-8"?>
<comments xmlns="http://schemas.openxmlformats.org/spreadsheetml/2006/main">
  <authors>
    <author>John Cesarone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Enter the project's first year in this cell; the rest will be taken care of for you.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>This the total money you are planning to spend on your project, in actual dollars.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C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28" authorId="0">
      <text>
        <r>
          <rPr>
            <b/>
            <sz val="8"/>
            <color indexed="81"/>
            <rFont val="Tahoma"/>
            <family val="2"/>
          </rPr>
          <t>If you want to account for uncertainty in your benefits, enter confidence levels on this row.  Otherwise, leave then all at 100%.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8" authorId="0">
      <text>
        <r>
          <rPr>
            <b/>
            <sz val="8"/>
            <color indexed="81"/>
            <rFont val="Tahoma"/>
            <family val="2"/>
          </rPr>
          <t>Enter your interest rate here; this is your cost of money or other relevant rate.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Enter the current year here, or year that you wish your future perspectives based upon.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8" authorId="0">
      <text>
        <r>
          <rPr>
            <b/>
            <sz val="8"/>
            <color indexed="81"/>
            <rFont val="Tahoma"/>
            <family val="2"/>
          </rPr>
          <t>Your project is econimically equivalent to this much cash on hand RIGHT NOW.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9" authorId="0">
      <text>
        <r>
          <rPr>
            <b/>
            <sz val="8"/>
            <color indexed="81"/>
            <rFont val="Tahoma"/>
            <family val="2"/>
          </rPr>
          <t>Your return on invested cash is equivalent to THIS RATE paid by a bank or other instrument.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2" authorId="0">
      <text>
        <r>
          <rPr>
            <b/>
            <sz val="8"/>
            <color indexed="81"/>
            <rFont val="Tahoma"/>
            <family val="2"/>
          </rPr>
          <t>Enter your interest rate here; this is your cost of money or other relevant rate.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3" authorId="0">
      <text>
        <r>
          <rPr>
            <b/>
            <sz val="8"/>
            <color indexed="81"/>
            <rFont val="Tahoma"/>
            <family val="2"/>
          </rPr>
          <t>Enter the current year here, or year that you wish your future perspectives based upon.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2" authorId="0">
      <text>
        <r>
          <rPr>
            <b/>
            <sz val="8"/>
            <color indexed="81"/>
            <rFont val="Tahoma"/>
            <family val="2"/>
          </rPr>
          <t>Your project is econimically equivalent to this much cash on hand RIGHT NOW.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3" authorId="0">
      <text>
        <r>
          <rPr>
            <b/>
            <sz val="8"/>
            <color indexed="81"/>
            <rFont val="Tahoma"/>
            <family val="2"/>
          </rPr>
          <t>Your return on invested cash is equivalent to THIS RATE paid by a bank or other instrument.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<sst xmlns="http://schemas.openxmlformats.org/spreadsheetml/2006/main" count="209" uniqueCount="161">
  <si>
    <t>Fiscal Year</t>
  </si>
  <si>
    <t>Element Manager</t>
  </si>
  <si>
    <t>Program Total Costs By Year</t>
  </si>
  <si>
    <t>Program Grand Total Cost</t>
  </si>
  <si>
    <t>Benefit Sources</t>
  </si>
  <si>
    <t>Total Benefits Per Year</t>
  </si>
  <si>
    <t>Confidence Factor</t>
  </si>
  <si>
    <t>Benefits Claimed for Analysis</t>
  </si>
  <si>
    <t>Program Grand Total Benefit</t>
  </si>
  <si>
    <t>Undiscounted Flows</t>
  </si>
  <si>
    <t>Costs</t>
  </si>
  <si>
    <t>Benefits</t>
  </si>
  <si>
    <t>Net Cash Flow</t>
  </si>
  <si>
    <t>Discount Factors</t>
  </si>
  <si>
    <t>Discount Rate</t>
  </si>
  <si>
    <t>Base Year</t>
  </si>
  <si>
    <t>Year Index</t>
  </si>
  <si>
    <t>Discount Factor</t>
  </si>
  <si>
    <t>Discounted Flows</t>
  </si>
  <si>
    <t>Net</t>
  </si>
  <si>
    <t>Cumulative</t>
  </si>
  <si>
    <t>Net Present Value</t>
  </si>
  <si>
    <t>Internal Rate of Return</t>
  </si>
  <si>
    <t>Engineering Cost</t>
  </si>
  <si>
    <t>Construction Inspection</t>
  </si>
  <si>
    <t>Construction Cost</t>
  </si>
  <si>
    <t>Point Repairs</t>
  </si>
  <si>
    <t>Maintenance</t>
  </si>
  <si>
    <t>Point Repair</t>
  </si>
  <si>
    <t>Maintenance Escallation Per Year</t>
  </si>
  <si>
    <t>Buffalo Speedway - Cost Benefit Analysis</t>
  </si>
  <si>
    <t>City of West University Place</t>
  </si>
  <si>
    <t>Accident Prevention</t>
  </si>
  <si>
    <t>Value of Injuries, TIGER BCA Resource Guide (2014)</t>
  </si>
  <si>
    <t>AIS Level</t>
  </si>
  <si>
    <t>Severity</t>
  </si>
  <si>
    <t>Fraction of VSL</t>
  </si>
  <si>
    <t>Unit value ($2013)</t>
  </si>
  <si>
    <t>Unit value ($2015)</t>
  </si>
  <si>
    <t>AIS 1</t>
  </si>
  <si>
    <t>Minor</t>
  </si>
  <si>
    <t>AIS 2</t>
  </si>
  <si>
    <t>Moderate</t>
  </si>
  <si>
    <t>AIS 3</t>
  </si>
  <si>
    <t>Serious</t>
  </si>
  <si>
    <t>AIS 4</t>
  </si>
  <si>
    <t>Severe</t>
  </si>
  <si>
    <t>AIS 5</t>
  </si>
  <si>
    <t>Critical</t>
  </si>
  <si>
    <t>AIS 6</t>
  </si>
  <si>
    <t>Unsurvivable</t>
  </si>
  <si>
    <t>Person Trips by Purpose, H-GAC Regional Travel Demand Model (2040 RTP - 2010 Census Data &amp; Household Survey)</t>
  </si>
  <si>
    <t>Home</t>
  </si>
  <si>
    <t>Work</t>
  </si>
  <si>
    <t>Non-Work</t>
  </si>
  <si>
    <t>Non-Home</t>
  </si>
  <si>
    <t>Truck</t>
  </si>
  <si>
    <t>Cargo</t>
  </si>
  <si>
    <t>Service</t>
  </si>
  <si>
    <t>Taxi</t>
  </si>
  <si>
    <t>External Auto</t>
  </si>
  <si>
    <t>Value of Travel Time, TIGER BCA Resource Guide (2014)</t>
  </si>
  <si>
    <t>Personal</t>
  </si>
  <si>
    <t>Business</t>
  </si>
  <si>
    <t>Weighted Average:</t>
  </si>
  <si>
    <t>Travel Time Savings</t>
  </si>
  <si>
    <t>Assumptions</t>
  </si>
  <si>
    <t>1/month</t>
  </si>
  <si>
    <t>2/year</t>
  </si>
  <si>
    <t>1/year</t>
  </si>
  <si>
    <t>4/year</t>
  </si>
  <si>
    <t>Quantity</t>
  </si>
  <si>
    <t>Unit Value (2015)</t>
  </si>
  <si>
    <t>Total</t>
  </si>
  <si>
    <t>2013 ($ per person-hour)</t>
  </si>
  <si>
    <t>2015 ($ per person-hour)</t>
  </si>
  <si>
    <t xml:space="preserve">Accident Escallation Per Year </t>
  </si>
  <si>
    <t xml:space="preserve">Travel Escallation Per Year </t>
  </si>
  <si>
    <t xml:space="preserve">Point Repair Escallation Per Year </t>
  </si>
  <si>
    <t>Accident</t>
  </si>
  <si>
    <t>Travel</t>
  </si>
  <si>
    <t>Frequency</t>
  </si>
  <si>
    <t>Hours per Year</t>
  </si>
  <si>
    <t>Value (2015)</t>
  </si>
  <si>
    <t>50% of No. of Persons (2015)</t>
  </si>
  <si>
    <t>Time savings equivalent to 2 minutes per day for 50% of travelers</t>
  </si>
  <si>
    <t>CITY OF WEST UNIVERSITY PLACE</t>
  </si>
  <si>
    <t>BUFFALO SPEEDWAY RECONSTRUCTION</t>
  </si>
  <si>
    <t>Year</t>
  </si>
  <si>
    <t>Assumptions Made</t>
  </si>
  <si>
    <t>% Increase per Year</t>
  </si>
  <si>
    <t>% increase per 2 Year</t>
  </si>
  <si>
    <t>% Increase per 2 years</t>
  </si>
  <si>
    <t>% Increase per year</t>
  </si>
  <si>
    <t>Time Savings/person/day in minutes</t>
  </si>
  <si>
    <t>No. of Travelers = Traffic Count x 1.5 = *24000 x1.5 = 36000</t>
  </si>
  <si>
    <t>*Traffic Count per Houston Regional Traffic Count Map</t>
  </si>
  <si>
    <t>18500 in 2001 @ 3% per year = 24000</t>
  </si>
  <si>
    <t>Weighted Average Used in Calculation Table</t>
  </si>
  <si>
    <t>Calculation Table</t>
  </si>
  <si>
    <t>Cost Data ($ in 1,000's)</t>
  </si>
  <si>
    <t>Benefit Data ($ in 1,000's)</t>
  </si>
  <si>
    <t>Results Calculation ($ in 1,000's)</t>
  </si>
  <si>
    <t>TIME SAVINGS BENEFIT</t>
  </si>
  <si>
    <t>ACCIDENT PREVENTION (VALUE OF INJURIES) BENEFIT</t>
  </si>
  <si>
    <t>BUFFALO SPEEDWAY PAVING RECONSTRUCTION</t>
  </si>
  <si>
    <t>COST ESTIMATE</t>
  </si>
  <si>
    <t>ITEM</t>
  </si>
  <si>
    <t>QTY.</t>
  </si>
  <si>
    <t>UNIT</t>
  </si>
  <si>
    <t>DESCRIPTION</t>
  </si>
  <si>
    <t>UNIT PRICE</t>
  </si>
  <si>
    <t>TOTAL COST</t>
  </si>
  <si>
    <t>PAVING IMPROVEMENTS</t>
  </si>
  <si>
    <t>1</t>
  </si>
  <si>
    <t>LS</t>
  </si>
  <si>
    <t>Mobilization</t>
  </si>
  <si>
    <t>S.Y.</t>
  </si>
  <si>
    <t>Lime Stabilized Subgrade (minimum 8" depth), complete in</t>
  </si>
  <si>
    <t>place, the sum of</t>
  </si>
  <si>
    <t>8" Minimum Thick Reinforced Concrete Pavement including removal of</t>
  </si>
  <si>
    <t>existing concrete pavement, all thickness, complete in place, the sum of</t>
  </si>
  <si>
    <t>L.F.</t>
  </si>
  <si>
    <t>6" reinforced concrete curb, including select backfill to finish</t>
  </si>
  <si>
    <t>grade, complete in place, the sum of</t>
  </si>
  <si>
    <t>Concrete paving header/undercut, Type I &amp; II per details in</t>
  </si>
  <si>
    <t>plans, complete in place, the sum of</t>
  </si>
  <si>
    <t>Remove existing driveways and replace with 6"  minimum thick concrete</t>
  </si>
  <si>
    <t>(match existing material), complete in place, the sum of</t>
  </si>
  <si>
    <t>S.F.</t>
  </si>
  <si>
    <t>Remove and replace sidewalks and wheelchair ramps (match existing</t>
  </si>
  <si>
    <t>material) complete in place, the sum of</t>
  </si>
  <si>
    <t>Tree root pruning trenching at locations and as per Owner's</t>
  </si>
  <si>
    <t>Consulting Urban Forester's plans, specifications and</t>
  </si>
  <si>
    <t>directions, complete in place, the sum of</t>
  </si>
  <si>
    <t>Tree protection fencing at locations and as per Owner's</t>
  </si>
  <si>
    <t>Zero-cut-back at designated locations shown on Consulting</t>
  </si>
  <si>
    <t>Urban Forester's Plans.  Constructed as per Engineer's</t>
  </si>
  <si>
    <t xml:space="preserve">Details, including extra steel and forming, and as per </t>
  </si>
  <si>
    <t xml:space="preserve">Owner's Consulting Urban Forester's plans, </t>
  </si>
  <si>
    <t>specifications, and directions, complete in place, the sum of</t>
  </si>
  <si>
    <t>Brick Pavers Installed in blockouts provided in concrete pavement, completed in place, the sum of</t>
  </si>
  <si>
    <t>TON</t>
  </si>
  <si>
    <t>Temporary Asphalt Installed in blockouts provided in concrete pavement for brick pavers, including removal, complete in place, the sum of</t>
  </si>
  <si>
    <t>EACH</t>
  </si>
  <si>
    <t>Remove and replace PVC Yard Drains, complete in place, the sum of</t>
  </si>
  <si>
    <t>Remove and Replace Type B-B Inlets, complete in place, the sum of</t>
  </si>
  <si>
    <t>24" Precast Concrete Inlet Leads, complete in place, the sum of</t>
  </si>
  <si>
    <t>3ft wide bike trail, complete in place, the sum of</t>
  </si>
  <si>
    <t>Traffic Control, complete in place, the sum of</t>
  </si>
  <si>
    <t>Striping, complete in place, the sum of</t>
  </si>
  <si>
    <t>TOTAL PAVING IMPROVEMENTS (ROUNDED UP)</t>
  </si>
  <si>
    <t>20% CONSTRUCTION CONTINGENCY</t>
  </si>
  <si>
    <t>TOTAL PAVING CONSTRUCTION COST ESTIMATE</t>
  </si>
  <si>
    <t>BASIC ENGINEERING 10%</t>
  </si>
  <si>
    <t>SURVEY 3%</t>
  </si>
  <si>
    <t>GEOTECHNICAL 3%</t>
  </si>
  <si>
    <t>INSPECTION 6%</t>
  </si>
  <si>
    <t>ENVIRONMENTAL</t>
  </si>
  <si>
    <t>PLANNING</t>
  </si>
  <si>
    <t>ESTIMATED PROJECT COST (ROUNDED 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</si>
</sst>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0.0000"/>
    <numFmt numFmtId="167" formatCode="0.000"/>
    <numFmt numFmtId="168" formatCode="_(* #,##0_);_(* \(#,##0\);_(* &quot;-&quot;??_);_(@_)"/>
    <numFmt numFmtId="169" formatCode="#,##0;[Red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indexed="10"/>
      <name val="Arial"/>
      <family val="2"/>
    </font>
    <font>
      <b/>
      <sz val="16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Horizontal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164" fontId="0" fillId="0" borderId="0" xfId="0" applyNumberFormat="1" applyFill="1" applyProtection="1"/>
    <xf numFmtId="0" fontId="0" fillId="5" borderId="0" xfId="0" applyFill="1" applyProtection="1"/>
    <xf numFmtId="164" fontId="0" fillId="5" borderId="0" xfId="0" applyNumberFormat="1" applyFill="1" applyProtection="1"/>
    <xf numFmtId="164" fontId="0" fillId="2" borderId="1" xfId="0" applyNumberFormat="1" applyFill="1" applyBorder="1" applyProtection="1"/>
    <xf numFmtId="164" fontId="0" fillId="2" borderId="0" xfId="0" applyNumberFormat="1" applyFill="1" applyProtection="1"/>
    <xf numFmtId="0" fontId="0" fillId="4" borderId="1" xfId="0" applyFill="1" applyBorder="1" applyProtection="1"/>
    <xf numFmtId="0" fontId="0" fillId="4" borderId="3" xfId="0" applyFill="1" applyBorder="1" applyProtection="1"/>
    <xf numFmtId="0" fontId="5" fillId="0" borderId="0" xfId="0" applyFont="1" applyProtection="1"/>
    <xf numFmtId="0" fontId="0" fillId="0" borderId="0" xfId="0" applyFill="1" applyBorder="1" applyProtection="1"/>
    <xf numFmtId="0" fontId="0" fillId="0" borderId="0" xfId="0" quotePrefix="1" applyNumberFormat="1" applyFill="1" applyBorder="1" applyAlignment="1" applyProtection="1">
      <alignment horizontal="right"/>
    </xf>
    <xf numFmtId="0" fontId="0" fillId="0" borderId="0" xfId="1" applyNumberFormat="1" applyFont="1" applyAlignment="1" applyProtection="1">
      <alignment horizontal="right"/>
    </xf>
    <xf numFmtId="0" fontId="0" fillId="0" borderId="0" xfId="0" quotePrefix="1" applyNumberFormat="1" applyAlignment="1" applyProtection="1">
      <alignment horizontal="right"/>
    </xf>
    <xf numFmtId="0" fontId="0" fillId="0" borderId="0" xfId="0" applyNumberFormat="1" applyProtection="1"/>
    <xf numFmtId="166" fontId="0" fillId="0" borderId="0" xfId="0" applyNumberFormat="1" applyProtection="1"/>
    <xf numFmtId="0" fontId="5" fillId="5" borderId="1" xfId="0" applyFont="1" applyFill="1" applyBorder="1" applyProtection="1"/>
    <xf numFmtId="0" fontId="6" fillId="5" borderId="1" xfId="0" applyFont="1" applyFill="1" applyBorder="1" applyProtection="1"/>
    <xf numFmtId="0" fontId="0" fillId="7" borderId="1" xfId="0" applyFill="1" applyBorder="1" applyProtection="1"/>
    <xf numFmtId="6" fontId="0" fillId="7" borderId="1" xfId="0" applyNumberFormat="1" applyFill="1" applyBorder="1" applyProtection="1"/>
    <xf numFmtId="9" fontId="0" fillId="7" borderId="1" xfId="0" applyNumberFormat="1" applyFill="1" applyBorder="1" applyProtection="1"/>
    <xf numFmtId="164" fontId="0" fillId="4" borderId="1" xfId="0" applyNumberFormat="1" applyFill="1" applyBorder="1" applyProtection="1"/>
    <xf numFmtId="164" fontId="0" fillId="5" borderId="1" xfId="0" applyNumberFormat="1" applyFill="1" applyBorder="1" applyProtection="1"/>
    <xf numFmtId="3" fontId="0" fillId="0" borderId="0" xfId="0" applyNumberFormat="1"/>
    <xf numFmtId="5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/>
    <xf numFmtId="9" fontId="8" fillId="0" borderId="0" xfId="0" applyNumberFormat="1" applyFont="1" applyAlignment="1">
      <alignment horizontal="left"/>
    </xf>
    <xf numFmtId="0" fontId="7" fillId="0" borderId="0" xfId="0" applyFont="1"/>
    <xf numFmtId="42" fontId="0" fillId="0" borderId="0" xfId="0" applyNumberFormat="1"/>
    <xf numFmtId="42" fontId="0" fillId="0" borderId="0" xfId="0" applyNumberFormat="1" applyFill="1" applyProtection="1"/>
    <xf numFmtId="42" fontId="0" fillId="0" borderId="0" xfId="0" applyNumberFormat="1" applyProtection="1"/>
    <xf numFmtId="5" fontId="0" fillId="5" borderId="0" xfId="0" applyNumberFormat="1" applyFill="1" applyProtection="1"/>
    <xf numFmtId="9" fontId="8" fillId="0" borderId="0" xfId="3" applyFont="1" applyAlignment="1">
      <alignment horizontal="left"/>
    </xf>
    <xf numFmtId="0" fontId="10" fillId="0" borderId="0" xfId="0" applyFont="1"/>
    <xf numFmtId="0" fontId="0" fillId="0" borderId="1" xfId="0" applyBorder="1"/>
    <xf numFmtId="167" fontId="0" fillId="0" borderId="1" xfId="0" applyNumberFormat="1" applyBorder="1" applyAlignment="1">
      <alignment horizontal="center"/>
    </xf>
    <xf numFmtId="6" fontId="0" fillId="0" borderId="1" xfId="0" applyNumberFormat="1" applyBorder="1"/>
    <xf numFmtId="168" fontId="0" fillId="0" borderId="0" xfId="2" applyNumberFormat="1" applyFont="1"/>
    <xf numFmtId="10" fontId="0" fillId="0" borderId="0" xfId="3" applyNumberFormat="1" applyFont="1"/>
    <xf numFmtId="168" fontId="9" fillId="0" borderId="0" xfId="0" applyNumberFormat="1" applyFont="1"/>
    <xf numFmtId="44" fontId="0" fillId="0" borderId="0" xfId="0" applyNumberFormat="1"/>
    <xf numFmtId="5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3" applyNumberFormat="1" applyFont="1"/>
    <xf numFmtId="164" fontId="11" fillId="0" borderId="0" xfId="0" applyNumberFormat="1" applyFont="1" applyProtection="1"/>
    <xf numFmtId="0" fontId="0" fillId="0" borderId="0" xfId="0" applyFont="1"/>
    <xf numFmtId="0" fontId="0" fillId="0" borderId="0" xfId="0" applyBorder="1" applyAlignment="1">
      <alignment horizontal="right"/>
    </xf>
    <xf numFmtId="5" fontId="0" fillId="0" borderId="0" xfId="0" applyNumberFormat="1" applyBorder="1" applyAlignment="1">
      <alignment horizontal="right"/>
    </xf>
    <xf numFmtId="0" fontId="9" fillId="0" borderId="7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9" fillId="0" borderId="12" xfId="0" applyFont="1" applyBorder="1" applyAlignment="1">
      <alignment horizontal="center"/>
    </xf>
    <xf numFmtId="5" fontId="0" fillId="0" borderId="2" xfId="0" applyNumberFormat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5" fontId="0" fillId="0" borderId="18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5" fontId="9" fillId="0" borderId="20" xfId="0" applyNumberFormat="1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164" fontId="9" fillId="0" borderId="22" xfId="0" applyNumberFormat="1" applyFont="1" applyBorder="1" applyAlignment="1">
      <alignment horizontal="center"/>
    </xf>
    <xf numFmtId="9" fontId="0" fillId="0" borderId="1" xfId="3" applyFont="1" applyBorder="1"/>
    <xf numFmtId="9" fontId="0" fillId="0" borderId="1" xfId="3" applyFont="1" applyBorder="1" applyAlignment="1">
      <alignment horizontal="center"/>
    </xf>
    <xf numFmtId="0" fontId="0" fillId="0" borderId="7" xfId="0" applyBorder="1"/>
    <xf numFmtId="9" fontId="0" fillId="0" borderId="8" xfId="3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67" fontId="0" fillId="0" borderId="10" xfId="0" applyNumberFormat="1" applyBorder="1" applyAlignment="1">
      <alignment horizontal="center"/>
    </xf>
    <xf numFmtId="6" fontId="0" fillId="0" borderId="10" xfId="0" applyNumberFormat="1" applyBorder="1"/>
    <xf numFmtId="9" fontId="0" fillId="0" borderId="10" xfId="3" applyFont="1" applyBorder="1" applyAlignment="1">
      <alignment horizontal="center"/>
    </xf>
    <xf numFmtId="9" fontId="0" fillId="0" borderId="11" xfId="3" applyFont="1" applyBorder="1" applyAlignment="1">
      <alignment horizontal="center"/>
    </xf>
    <xf numFmtId="0" fontId="0" fillId="0" borderId="12" xfId="0" applyBorder="1"/>
    <xf numFmtId="0" fontId="0" fillId="0" borderId="2" xfId="0" applyBorder="1"/>
    <xf numFmtId="167" fontId="0" fillId="0" borderId="2" xfId="0" applyNumberFormat="1" applyBorder="1" applyAlignment="1">
      <alignment horizontal="center"/>
    </xf>
    <xf numFmtId="6" fontId="0" fillId="0" borderId="2" xfId="0" applyNumberFormat="1" applyBorder="1"/>
    <xf numFmtId="9" fontId="0" fillId="0" borderId="2" xfId="3" applyFont="1" applyBorder="1" applyAlignment="1">
      <alignment horizontal="center"/>
    </xf>
    <xf numFmtId="9" fontId="0" fillId="0" borderId="13" xfId="3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5" fontId="0" fillId="0" borderId="8" xfId="1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5" fontId="0" fillId="0" borderId="13" xfId="1" applyNumberFormat="1" applyFont="1" applyBorder="1" applyAlignment="1">
      <alignment horizontal="right"/>
    </xf>
    <xf numFmtId="0" fontId="9" fillId="0" borderId="16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 applyAlignment="1">
      <alignment horizontal="center"/>
    </xf>
    <xf numFmtId="5" fontId="0" fillId="0" borderId="25" xfId="1" applyNumberFormat="1" applyFont="1" applyBorder="1" applyAlignment="1">
      <alignment horizontal="right"/>
    </xf>
    <xf numFmtId="5" fontId="9" fillId="0" borderId="16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0" fillId="0" borderId="7" xfId="0" applyBorder="1" applyAlignment="1">
      <alignment horizontal="left"/>
    </xf>
    <xf numFmtId="44" fontId="0" fillId="0" borderId="1" xfId="1" applyFont="1" applyBorder="1"/>
    <xf numFmtId="44" fontId="0" fillId="0" borderId="1" xfId="0" applyNumberFormat="1" applyBorder="1"/>
    <xf numFmtId="9" fontId="0" fillId="0" borderId="8" xfId="3" applyFont="1" applyBorder="1"/>
    <xf numFmtId="0" fontId="9" fillId="8" borderId="9" xfId="0" applyFont="1" applyFill="1" applyBorder="1" applyAlignment="1">
      <alignment horizontal="right"/>
    </xf>
    <xf numFmtId="44" fontId="9" fillId="8" borderId="10" xfId="1" applyFont="1" applyFill="1" applyBorder="1"/>
    <xf numFmtId="9" fontId="0" fillId="0" borderId="10" xfId="3" applyFont="1" applyBorder="1"/>
    <xf numFmtId="9" fontId="0" fillId="0" borderId="11" xfId="3" applyFont="1" applyBorder="1"/>
    <xf numFmtId="0" fontId="0" fillId="0" borderId="12" xfId="0" applyBorder="1" applyAlignment="1">
      <alignment horizontal="left"/>
    </xf>
    <xf numFmtId="44" fontId="0" fillId="0" borderId="2" xfId="1" applyFont="1" applyBorder="1"/>
    <xf numFmtId="44" fontId="0" fillId="0" borderId="2" xfId="0" applyNumberFormat="1" applyBorder="1"/>
    <xf numFmtId="9" fontId="0" fillId="0" borderId="2" xfId="3" applyFont="1" applyBorder="1"/>
    <xf numFmtId="9" fontId="0" fillId="0" borderId="13" xfId="3" applyFont="1" applyBorder="1"/>
    <xf numFmtId="0" fontId="0" fillId="0" borderId="14" xfId="0" applyBorder="1" applyAlignment="1">
      <alignment horizontal="center" wrapText="1"/>
    </xf>
    <xf numFmtId="0" fontId="0" fillId="0" borderId="30" xfId="0" applyBorder="1" applyAlignment="1">
      <alignment horizontal="center"/>
    </xf>
    <xf numFmtId="5" fontId="0" fillId="0" borderId="30" xfId="0" applyNumberFormat="1" applyBorder="1"/>
    <xf numFmtId="5" fontId="0" fillId="0" borderId="31" xfId="0" applyNumberFormat="1" applyBorder="1"/>
    <xf numFmtId="0" fontId="9" fillId="0" borderId="21" xfId="0" applyFont="1" applyBorder="1" applyAlignment="1">
      <alignment horizont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 indent="3"/>
    </xf>
    <xf numFmtId="0" fontId="8" fillId="0" borderId="0" xfId="0" applyFont="1" applyFill="1" applyBorder="1" applyAlignment="1">
      <alignment horizontal="left"/>
    </xf>
    <xf numFmtId="164" fontId="0" fillId="2" borderId="1" xfId="0" quotePrefix="1" applyNumberFormat="1" applyFill="1" applyBorder="1" applyProtection="1">
      <protection locked="0"/>
    </xf>
    <xf numFmtId="164" fontId="0" fillId="0" borderId="1" xfId="0" quotePrefix="1" applyNumberFormat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5" fontId="0" fillId="0" borderId="1" xfId="1" applyNumberFormat="1" applyFont="1" applyBorder="1"/>
    <xf numFmtId="164" fontId="0" fillId="2" borderId="1" xfId="0" quotePrefix="1" applyNumberFormat="1" applyFill="1" applyBorder="1" applyAlignment="1" applyProtection="1">
      <alignment horizontal="right"/>
    </xf>
    <xf numFmtId="164" fontId="0" fillId="6" borderId="1" xfId="0" applyNumberFormat="1" applyFill="1" applyBorder="1" applyProtection="1"/>
    <xf numFmtId="9" fontId="0" fillId="6" borderId="1" xfId="0" quotePrefix="1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Protection="1">
      <protection locked="0"/>
    </xf>
    <xf numFmtId="5" fontId="0" fillId="0" borderId="1" xfId="0" applyNumberFormat="1" applyBorder="1" applyProtection="1">
      <protection locked="0"/>
    </xf>
    <xf numFmtId="42" fontId="0" fillId="0" borderId="1" xfId="0" applyNumberFormat="1" applyBorder="1"/>
    <xf numFmtId="5" fontId="0" fillId="4" borderId="1" xfId="0" applyNumberFormat="1" applyFill="1" applyBorder="1" applyProtection="1"/>
    <xf numFmtId="164" fontId="9" fillId="3" borderId="1" xfId="0" applyNumberFormat="1" applyFont="1" applyFill="1" applyBorder="1" applyProtection="1"/>
    <xf numFmtId="164" fontId="9" fillId="2" borderId="1" xfId="0" applyNumberFormat="1" applyFont="1" applyFill="1" applyBorder="1" applyProtection="1"/>
    <xf numFmtId="0" fontId="9" fillId="2" borderId="1" xfId="0" quotePrefix="1" applyNumberFormat="1" applyFont="1" applyFill="1" applyBorder="1" applyAlignment="1" applyProtection="1">
      <alignment horizontal="center"/>
      <protection locked="0"/>
    </xf>
    <xf numFmtId="0" fontId="9" fillId="2" borderId="1" xfId="0" quotePrefix="1" applyNumberFormat="1" applyFont="1" applyFill="1" applyBorder="1" applyAlignment="1" applyProtection="1">
      <alignment horizontal="center"/>
    </xf>
    <xf numFmtId="0" fontId="9" fillId="2" borderId="1" xfId="0" quotePrefix="1" applyNumberFormat="1" applyFont="1" applyFill="1" applyBorder="1" applyAlignment="1" applyProtection="1">
      <alignment horizontal="right"/>
    </xf>
    <xf numFmtId="0" fontId="0" fillId="9" borderId="0" xfId="0" applyFill="1" applyProtection="1"/>
    <xf numFmtId="0" fontId="9" fillId="6" borderId="1" xfId="0" applyFont="1" applyFill="1" applyBorder="1" applyProtection="1"/>
    <xf numFmtId="165" fontId="9" fillId="0" borderId="1" xfId="0" applyNumberFormat="1" applyFont="1" applyBorder="1" applyProtection="1">
      <protection locked="0"/>
    </xf>
    <xf numFmtId="0" fontId="9" fillId="0" borderId="1" xfId="0" quotePrefix="1" applyNumberFormat="1" applyFont="1" applyBorder="1" applyAlignment="1" applyProtection="1">
      <alignment horizontal="right"/>
      <protection locked="0"/>
    </xf>
    <xf numFmtId="0" fontId="0" fillId="9" borderId="0" xfId="0" applyFill="1" applyBorder="1" applyProtection="1"/>
    <xf numFmtId="9" fontId="0" fillId="9" borderId="0" xfId="0" applyNumberFormat="1" applyFill="1" applyBorder="1" applyProtection="1"/>
    <xf numFmtId="0" fontId="9" fillId="0" borderId="3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/>
    </xf>
    <xf numFmtId="164" fontId="9" fillId="0" borderId="4" xfId="0" applyNumberFormat="1" applyFont="1" applyBorder="1" applyAlignment="1" applyProtection="1">
      <alignment horizontal="center"/>
    </xf>
    <xf numFmtId="164" fontId="9" fillId="0" borderId="5" xfId="0" applyNumberFormat="1" applyFont="1" applyBorder="1" applyAlignment="1" applyProtection="1">
      <alignment horizontal="center"/>
    </xf>
    <xf numFmtId="164" fontId="9" fillId="0" borderId="3" xfId="0" applyNumberFormat="1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26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9" fillId="0" borderId="33" xfId="0" applyFont="1" applyBorder="1" applyAlignment="1">
      <alignment horizontal="center"/>
    </xf>
    <xf numFmtId="14" fontId="0" fillId="0" borderId="0" xfId="0" applyNumberFormat="1"/>
    <xf numFmtId="49" fontId="15" fillId="0" borderId="34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169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44" fontId="14" fillId="0" borderId="1" xfId="1" applyFont="1" applyBorder="1" applyProtection="1">
      <protection locked="0"/>
    </xf>
    <xf numFmtId="44" fontId="14" fillId="0" borderId="1" xfId="1" applyFont="1" applyBorder="1"/>
    <xf numFmtId="0" fontId="14" fillId="0" borderId="24" xfId="0" applyNumberFormat="1" applyFont="1" applyBorder="1" applyAlignment="1">
      <alignment horizontal="center"/>
    </xf>
    <xf numFmtId="169" fontId="14" fillId="0" borderId="24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4" xfId="0" applyFont="1" applyBorder="1"/>
    <xf numFmtId="44" fontId="14" fillId="0" borderId="24" xfId="1" applyFont="1" applyBorder="1"/>
    <xf numFmtId="49" fontId="14" fillId="0" borderId="2" xfId="0" applyNumberFormat="1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44" fontId="14" fillId="0" borderId="2" xfId="1" applyFont="1" applyBorder="1" applyProtection="1">
      <protection locked="0"/>
    </xf>
    <xf numFmtId="44" fontId="14" fillId="0" borderId="2" xfId="1" applyFont="1" applyBorder="1"/>
    <xf numFmtId="3" fontId="14" fillId="0" borderId="24" xfId="0" applyNumberFormat="1" applyFont="1" applyBorder="1" applyAlignment="1">
      <alignment horizontal="center"/>
    </xf>
    <xf numFmtId="0" fontId="14" fillId="0" borderId="24" xfId="0" applyFont="1" applyBorder="1" applyAlignment="1">
      <alignment wrapText="1"/>
    </xf>
    <xf numFmtId="49" fontId="14" fillId="0" borderId="2" xfId="0" applyNumberFormat="1" applyFont="1" applyBorder="1" applyAlignment="1">
      <alignment horizontal="center"/>
    </xf>
    <xf numFmtId="169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12" fontId="14" fillId="0" borderId="24" xfId="0" applyNumberFormat="1" applyFont="1" applyBorder="1"/>
    <xf numFmtId="49" fontId="14" fillId="0" borderId="35" xfId="0" applyNumberFormat="1" applyFont="1" applyBorder="1"/>
    <xf numFmtId="0" fontId="14" fillId="0" borderId="35" xfId="0" applyFont="1" applyBorder="1" applyAlignment="1">
      <alignment horizontal="center"/>
    </xf>
    <xf numFmtId="0" fontId="14" fillId="0" borderId="35" xfId="0" applyFont="1" applyBorder="1"/>
    <xf numFmtId="44" fontId="14" fillId="0" borderId="35" xfId="1" applyFont="1" applyBorder="1"/>
    <xf numFmtId="0" fontId="14" fillId="0" borderId="1" xfId="0" applyFont="1" applyBorder="1" applyAlignment="1">
      <alignment vertical="top" wrapText="1"/>
    </xf>
    <xf numFmtId="44" fontId="14" fillId="0" borderId="24" xfId="1" applyFont="1" applyBorder="1" applyProtection="1">
      <protection locked="0"/>
    </xf>
    <xf numFmtId="3" fontId="14" fillId="0" borderId="1" xfId="0" applyNumberFormat="1" applyFont="1" applyBorder="1" applyAlignment="1">
      <alignment horizontal="center"/>
    </xf>
    <xf numFmtId="44" fontId="14" fillId="0" borderId="1" xfId="1" applyFont="1" applyFill="1" applyBorder="1" applyProtection="1">
      <protection locked="0"/>
    </xf>
    <xf numFmtId="0" fontId="14" fillId="0" borderId="0" xfId="0" applyFont="1" applyBorder="1"/>
    <xf numFmtId="0" fontId="14" fillId="0" borderId="0" xfId="0" applyFont="1"/>
    <xf numFmtId="44" fontId="13" fillId="0" borderId="0" xfId="1" applyFont="1" applyAlignment="1">
      <alignment horizontal="right"/>
    </xf>
    <xf numFmtId="44" fontId="13" fillId="0" borderId="0" xfId="1" applyFont="1" applyBorder="1" applyAlignment="1"/>
    <xf numFmtId="44" fontId="13" fillId="0" borderId="0" xfId="1" applyFont="1" applyBorder="1"/>
    <xf numFmtId="44" fontId="13" fillId="0" borderId="34" xfId="1" applyFont="1" applyBorder="1"/>
    <xf numFmtId="44" fontId="13" fillId="0" borderId="27" xfId="1" applyFont="1" applyBorder="1" applyAlignment="1"/>
    <xf numFmtId="49" fontId="13" fillId="0" borderId="14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44" fontId="13" fillId="0" borderId="15" xfId="1" applyFont="1" applyBorder="1" applyAlignment="1">
      <alignment horizontal="center"/>
    </xf>
    <xf numFmtId="44" fontId="13" fillId="0" borderId="16" xfId="1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-gac.com/taq/tip/docs/2015/Template%20-%20Generic%20Benefit%20Discoun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TS Delay Worksheet"/>
      <sheetName val="Emissions Reduction Worksheet"/>
      <sheetName val="Calculations"/>
      <sheetName val="Assumed Values"/>
      <sheetName val="Value of Travel Time"/>
      <sheetName val="Value of Statistical Life"/>
      <sheetName val="Value of Emissions"/>
      <sheetName val="GDP Deflators"/>
    </sheetNames>
    <sheetDataSet>
      <sheetData sheetId="0"/>
      <sheetData sheetId="1"/>
      <sheetData sheetId="2"/>
      <sheetData sheetId="3"/>
      <sheetData sheetId="4">
        <row r="8">
          <cell r="C8">
            <v>2.0832073567924381E-2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73"/>
  <sheetViews>
    <sheetView tabSelected="1" zoomScaleNormal="100" workbookViewId="0">
      <selection activeCell="N15" sqref="N15"/>
    </sheetView>
  </sheetViews>
  <sheetFormatPr defaultRowHeight="15" x14ac:dyDescent="0.25"/>
  <cols>
    <col min="1" max="1" width="30.42578125" customWidth="1"/>
    <col min="2" max="2" width="10" customWidth="1"/>
    <col min="3" max="18" width="7.28515625" customWidth="1"/>
    <col min="19" max="31" width="8.7109375" customWidth="1"/>
  </cols>
  <sheetData>
    <row r="1" spans="1:31" ht="23.25" x14ac:dyDescent="0.35">
      <c r="A1" s="150" t="s">
        <v>31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</row>
    <row r="2" spans="1:31" ht="23.25" x14ac:dyDescent="0.35">
      <c r="A2" s="150" t="s">
        <v>30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</row>
    <row r="3" spans="1:31" ht="20.25" x14ac:dyDescent="0.3">
      <c r="A3" s="49" t="s">
        <v>100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</row>
    <row r="4" spans="1:3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</row>
    <row r="5" spans="1:31" x14ac:dyDescent="0.25">
      <c r="A5" s="2"/>
      <c r="B5" s="151" t="s">
        <v>0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3"/>
    </row>
    <row r="6" spans="1:31" x14ac:dyDescent="0.25">
      <c r="A6" s="135" t="s">
        <v>1</v>
      </c>
      <c r="B6" s="137">
        <v>2016</v>
      </c>
      <c r="C6" s="138">
        <f>B6+1</f>
        <v>2017</v>
      </c>
      <c r="D6" s="138">
        <f t="shared" ref="D6:Z6" si="0">C6+1</f>
        <v>2018</v>
      </c>
      <c r="E6" s="138">
        <f t="shared" si="0"/>
        <v>2019</v>
      </c>
      <c r="F6" s="138">
        <f t="shared" si="0"/>
        <v>2020</v>
      </c>
      <c r="G6" s="138">
        <f t="shared" si="0"/>
        <v>2021</v>
      </c>
      <c r="H6" s="138">
        <f t="shared" si="0"/>
        <v>2022</v>
      </c>
      <c r="I6" s="138">
        <f t="shared" si="0"/>
        <v>2023</v>
      </c>
      <c r="J6" s="138">
        <f t="shared" si="0"/>
        <v>2024</v>
      </c>
      <c r="K6" s="138">
        <f t="shared" si="0"/>
        <v>2025</v>
      </c>
      <c r="L6" s="138">
        <f t="shared" si="0"/>
        <v>2026</v>
      </c>
      <c r="M6" s="138">
        <f t="shared" si="0"/>
        <v>2027</v>
      </c>
      <c r="N6" s="138">
        <f t="shared" si="0"/>
        <v>2028</v>
      </c>
      <c r="O6" s="138">
        <f t="shared" si="0"/>
        <v>2029</v>
      </c>
      <c r="P6" s="138">
        <f t="shared" si="0"/>
        <v>2030</v>
      </c>
      <c r="Q6" s="138">
        <f t="shared" si="0"/>
        <v>2031</v>
      </c>
      <c r="R6" s="138">
        <f t="shared" si="0"/>
        <v>2032</v>
      </c>
      <c r="S6" s="138">
        <f t="shared" si="0"/>
        <v>2033</v>
      </c>
      <c r="T6" s="138">
        <f t="shared" si="0"/>
        <v>2034</v>
      </c>
      <c r="U6" s="138">
        <f t="shared" si="0"/>
        <v>2035</v>
      </c>
      <c r="V6" s="138">
        <f t="shared" si="0"/>
        <v>2036</v>
      </c>
      <c r="W6" s="138">
        <f t="shared" si="0"/>
        <v>2037</v>
      </c>
      <c r="X6" s="138">
        <f t="shared" si="0"/>
        <v>2038</v>
      </c>
      <c r="Y6" s="138">
        <f t="shared" si="0"/>
        <v>2039</v>
      </c>
      <c r="Z6" s="138">
        <f t="shared" si="0"/>
        <v>2040</v>
      </c>
      <c r="AA6" s="138">
        <f t="shared" ref="AA6" si="1">Z6+1</f>
        <v>2041</v>
      </c>
      <c r="AB6" s="138">
        <f t="shared" ref="AB6" si="2">AA6+1</f>
        <v>2042</v>
      </c>
      <c r="AC6" s="138">
        <f t="shared" ref="AC6" si="3">AB6+1</f>
        <v>2043</v>
      </c>
      <c r="AD6" s="138">
        <f t="shared" ref="AD6" si="4">AC6+1</f>
        <v>2044</v>
      </c>
      <c r="AE6" s="138">
        <f t="shared" ref="AE6" si="5">AD6+1</f>
        <v>2045</v>
      </c>
    </row>
    <row r="7" spans="1:31" x14ac:dyDescent="0.25">
      <c r="A7" s="131" t="s">
        <v>23</v>
      </c>
      <c r="B7" s="132">
        <v>542</v>
      </c>
      <c r="C7" s="132">
        <v>542</v>
      </c>
      <c r="D7" s="132">
        <v>150</v>
      </c>
      <c r="E7" s="132">
        <v>150</v>
      </c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3"/>
      <c r="AB7" s="133"/>
      <c r="AC7" s="133"/>
      <c r="AD7" s="37"/>
      <c r="AE7" s="37"/>
    </row>
    <row r="8" spans="1:31" x14ac:dyDescent="0.25">
      <c r="A8" s="131" t="s">
        <v>25</v>
      </c>
      <c r="B8" s="132"/>
      <c r="C8" s="132"/>
      <c r="D8" s="132">
        <v>3920</v>
      </c>
      <c r="E8" s="132">
        <v>3920</v>
      </c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3"/>
      <c r="AB8" s="133"/>
      <c r="AC8" s="133"/>
      <c r="AD8" s="37"/>
      <c r="AE8" s="37"/>
    </row>
    <row r="9" spans="1:31" x14ac:dyDescent="0.25">
      <c r="A9" s="131" t="s">
        <v>24</v>
      </c>
      <c r="B9" s="132"/>
      <c r="C9" s="132"/>
      <c r="D9" s="132">
        <v>240</v>
      </c>
      <c r="E9" s="132">
        <v>240</v>
      </c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3"/>
      <c r="AB9" s="133"/>
      <c r="AC9" s="133"/>
      <c r="AD9" s="37"/>
      <c r="AE9" s="37"/>
    </row>
    <row r="10" spans="1:31" x14ac:dyDescent="0.25">
      <c r="A10" s="131" t="s">
        <v>27</v>
      </c>
      <c r="B10" s="132"/>
      <c r="C10" s="132"/>
      <c r="D10" s="132"/>
      <c r="E10" s="132"/>
      <c r="F10" s="132"/>
      <c r="G10" s="132">
        <v>10</v>
      </c>
      <c r="H10" s="132"/>
      <c r="I10" s="132">
        <f>G10*1.06</f>
        <v>10.600000000000001</v>
      </c>
      <c r="J10" s="132"/>
      <c r="K10" s="132">
        <f>I10*1.06</f>
        <v>11.236000000000002</v>
      </c>
      <c r="L10" s="132"/>
      <c r="M10" s="132">
        <f>K10*1.06</f>
        <v>11.910160000000003</v>
      </c>
      <c r="N10" s="132"/>
      <c r="O10" s="132">
        <f>M10*1.06</f>
        <v>12.624769600000004</v>
      </c>
      <c r="P10" s="132"/>
      <c r="Q10" s="132">
        <f>O10*1.06</f>
        <v>13.382255776000004</v>
      </c>
      <c r="R10" s="132"/>
      <c r="S10" s="132">
        <f>Q10*1.06</f>
        <v>14.185191122560006</v>
      </c>
      <c r="T10" s="132"/>
      <c r="U10" s="132">
        <f>S10*1.06</f>
        <v>15.036302589913607</v>
      </c>
      <c r="V10" s="132"/>
      <c r="W10" s="132">
        <f>U10*1.06</f>
        <v>15.938480745308425</v>
      </c>
      <c r="X10" s="132"/>
      <c r="Y10" s="132">
        <f>W10*1.06</f>
        <v>16.894789590026932</v>
      </c>
      <c r="Z10" s="132"/>
      <c r="AA10" s="132">
        <f>Y10*1.06</f>
        <v>17.908476965428548</v>
      </c>
      <c r="AB10" s="132"/>
      <c r="AC10" s="132">
        <f>AA10*1.06</f>
        <v>18.98298558335426</v>
      </c>
      <c r="AD10" s="132"/>
      <c r="AE10" s="132">
        <f>AC10*1.06</f>
        <v>20.121964718355517</v>
      </c>
    </row>
    <row r="11" spans="1:31" x14ac:dyDescent="0.25">
      <c r="A11" s="131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3"/>
      <c r="AB11" s="133"/>
      <c r="AC11" s="133"/>
      <c r="AD11" s="37"/>
      <c r="AE11" s="37"/>
    </row>
    <row r="12" spans="1:31" x14ac:dyDescent="0.25">
      <c r="A12" s="131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3"/>
      <c r="AB12" s="133"/>
      <c r="AC12" s="133"/>
      <c r="AD12" s="37"/>
      <c r="AE12" s="37"/>
    </row>
    <row r="13" spans="1:31" x14ac:dyDescent="0.25">
      <c r="A13" s="8" t="s">
        <v>2</v>
      </c>
      <c r="B13" s="134">
        <f t="shared" ref="B13:K13" si="6">SUM(B7:B12)</f>
        <v>542</v>
      </c>
      <c r="C13" s="134">
        <f t="shared" si="6"/>
        <v>542</v>
      </c>
      <c r="D13" s="134">
        <f t="shared" si="6"/>
        <v>4310</v>
      </c>
      <c r="E13" s="134">
        <f t="shared" si="6"/>
        <v>4310</v>
      </c>
      <c r="F13" s="134">
        <f t="shared" si="6"/>
        <v>0</v>
      </c>
      <c r="G13" s="134">
        <f t="shared" si="6"/>
        <v>10</v>
      </c>
      <c r="H13" s="134">
        <f t="shared" si="6"/>
        <v>0</v>
      </c>
      <c r="I13" s="134">
        <f t="shared" si="6"/>
        <v>10.600000000000001</v>
      </c>
      <c r="J13" s="134">
        <f t="shared" si="6"/>
        <v>0</v>
      </c>
      <c r="K13" s="134">
        <f t="shared" si="6"/>
        <v>11.236000000000002</v>
      </c>
      <c r="L13" s="134">
        <f t="shared" ref="L13:AE13" si="7">SUM(L7:L12)</f>
        <v>0</v>
      </c>
      <c r="M13" s="134">
        <f t="shared" si="7"/>
        <v>11.910160000000003</v>
      </c>
      <c r="N13" s="134">
        <f t="shared" si="7"/>
        <v>0</v>
      </c>
      <c r="O13" s="134">
        <f t="shared" si="7"/>
        <v>12.624769600000004</v>
      </c>
      <c r="P13" s="134">
        <f t="shared" si="7"/>
        <v>0</v>
      </c>
      <c r="Q13" s="134">
        <f t="shared" si="7"/>
        <v>13.382255776000004</v>
      </c>
      <c r="R13" s="134">
        <f t="shared" si="7"/>
        <v>0</v>
      </c>
      <c r="S13" s="134">
        <f t="shared" si="7"/>
        <v>14.185191122560006</v>
      </c>
      <c r="T13" s="134">
        <f t="shared" si="7"/>
        <v>0</v>
      </c>
      <c r="U13" s="134">
        <f t="shared" si="7"/>
        <v>15.036302589913607</v>
      </c>
      <c r="V13" s="134">
        <f t="shared" si="7"/>
        <v>0</v>
      </c>
      <c r="W13" s="134">
        <f t="shared" si="7"/>
        <v>15.938480745308425</v>
      </c>
      <c r="X13" s="134">
        <f t="shared" si="7"/>
        <v>0</v>
      </c>
      <c r="Y13" s="134">
        <f t="shared" si="7"/>
        <v>16.894789590026932</v>
      </c>
      <c r="Z13" s="134">
        <f t="shared" si="7"/>
        <v>0</v>
      </c>
      <c r="AA13" s="132">
        <f t="shared" si="7"/>
        <v>17.908476965428548</v>
      </c>
      <c r="AB13" s="132">
        <f t="shared" si="7"/>
        <v>0</v>
      </c>
      <c r="AC13" s="132">
        <f t="shared" si="7"/>
        <v>18.98298558335426</v>
      </c>
      <c r="AD13" s="132">
        <f t="shared" si="7"/>
        <v>0</v>
      </c>
      <c r="AE13" s="132">
        <f t="shared" si="7"/>
        <v>20.121964718355517</v>
      </c>
    </row>
    <row r="14" spans="1:31" x14ac:dyDescent="0.25">
      <c r="A14" s="3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3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31" x14ac:dyDescent="0.25">
      <c r="A15" s="4" t="s">
        <v>3</v>
      </c>
      <c r="B15" s="34">
        <f>SUM(B13:Z13)</f>
        <v>9835.8079494238082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31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</row>
    <row r="17" spans="1:31" x14ac:dyDescent="0.25">
      <c r="A17" s="28" t="s">
        <v>29</v>
      </c>
      <c r="B17" s="35">
        <v>0.03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</row>
    <row r="19" spans="1:31" ht="20.25" x14ac:dyDescent="0.3">
      <c r="A19" s="49" t="s">
        <v>101</v>
      </c>
      <c r="C19" s="1"/>
      <c r="D19" s="1"/>
      <c r="E19" s="1"/>
      <c r="F19" s="1"/>
      <c r="G19" s="1"/>
      <c r="H19" s="1"/>
      <c r="I19" s="1"/>
      <c r="J19" s="1"/>
      <c r="K19" s="1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B19" s="26"/>
      <c r="AC19" s="27"/>
    </row>
    <row r="20" spans="1:3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B20" s="26"/>
      <c r="AC20" s="25"/>
    </row>
    <row r="21" spans="1:31" x14ac:dyDescent="0.25">
      <c r="A21" s="1"/>
      <c r="B21" s="154" t="s">
        <v>0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6"/>
    </row>
    <row r="22" spans="1:31" x14ac:dyDescent="0.25">
      <c r="A22" s="136" t="s">
        <v>4</v>
      </c>
      <c r="B22" s="138">
        <f>+B6</f>
        <v>2016</v>
      </c>
      <c r="C22" s="138">
        <f>B22+1</f>
        <v>2017</v>
      </c>
      <c r="D22" s="138">
        <f t="shared" ref="D22:Z22" si="8">C22+1</f>
        <v>2018</v>
      </c>
      <c r="E22" s="138">
        <f t="shared" si="8"/>
        <v>2019</v>
      </c>
      <c r="F22" s="138">
        <f t="shared" si="8"/>
        <v>2020</v>
      </c>
      <c r="G22" s="138">
        <f t="shared" si="8"/>
        <v>2021</v>
      </c>
      <c r="H22" s="138">
        <f t="shared" si="8"/>
        <v>2022</v>
      </c>
      <c r="I22" s="138">
        <f t="shared" si="8"/>
        <v>2023</v>
      </c>
      <c r="J22" s="138">
        <f t="shared" si="8"/>
        <v>2024</v>
      </c>
      <c r="K22" s="138">
        <f t="shared" si="8"/>
        <v>2025</v>
      </c>
      <c r="L22" s="138">
        <f t="shared" si="8"/>
        <v>2026</v>
      </c>
      <c r="M22" s="138">
        <f t="shared" si="8"/>
        <v>2027</v>
      </c>
      <c r="N22" s="138">
        <f t="shared" si="8"/>
        <v>2028</v>
      </c>
      <c r="O22" s="138">
        <f t="shared" si="8"/>
        <v>2029</v>
      </c>
      <c r="P22" s="138">
        <f t="shared" si="8"/>
        <v>2030</v>
      </c>
      <c r="Q22" s="138">
        <f t="shared" si="8"/>
        <v>2031</v>
      </c>
      <c r="R22" s="138">
        <f t="shared" si="8"/>
        <v>2032</v>
      </c>
      <c r="S22" s="138">
        <f t="shared" si="8"/>
        <v>2033</v>
      </c>
      <c r="T22" s="138">
        <f t="shared" si="8"/>
        <v>2034</v>
      </c>
      <c r="U22" s="138">
        <f t="shared" si="8"/>
        <v>2035</v>
      </c>
      <c r="V22" s="138">
        <f t="shared" si="8"/>
        <v>2036</v>
      </c>
      <c r="W22" s="138">
        <f t="shared" si="8"/>
        <v>2037</v>
      </c>
      <c r="X22" s="138">
        <f t="shared" si="8"/>
        <v>2038</v>
      </c>
      <c r="Y22" s="138">
        <f t="shared" si="8"/>
        <v>2039</v>
      </c>
      <c r="Z22" s="138">
        <f t="shared" si="8"/>
        <v>2040</v>
      </c>
      <c r="AA22" s="138">
        <f t="shared" ref="AA22" si="9">Z22+1</f>
        <v>2041</v>
      </c>
      <c r="AB22" s="138">
        <f t="shared" ref="AB22" si="10">AA22+1</f>
        <v>2042</v>
      </c>
      <c r="AC22" s="138">
        <f t="shared" ref="AC22" si="11">AB22+1</f>
        <v>2043</v>
      </c>
      <c r="AD22" s="138">
        <f t="shared" ref="AD22:AE22" si="12">AC22+1</f>
        <v>2044</v>
      </c>
      <c r="AE22" s="138">
        <f t="shared" si="12"/>
        <v>2045</v>
      </c>
    </row>
    <row r="23" spans="1:31" x14ac:dyDescent="0.25">
      <c r="A23" s="124" t="s">
        <v>26</v>
      </c>
      <c r="B23" s="125"/>
      <c r="C23" s="125">
        <f>+C36</f>
        <v>688.8</v>
      </c>
      <c r="D23" s="125"/>
      <c r="E23" s="125"/>
      <c r="F23" s="125"/>
      <c r="G23" s="125">
        <f>+G36</f>
        <v>775</v>
      </c>
      <c r="H23" s="125"/>
      <c r="I23" s="125"/>
      <c r="J23" s="125"/>
      <c r="K23" s="125">
        <f>+K36</f>
        <v>872</v>
      </c>
      <c r="L23" s="37"/>
      <c r="M23" s="37"/>
      <c r="N23" s="37"/>
      <c r="O23" s="125">
        <f>+O36</f>
        <v>982</v>
      </c>
      <c r="P23" s="125"/>
      <c r="Q23" s="125"/>
      <c r="R23" s="125"/>
      <c r="S23" s="125">
        <f>+S36</f>
        <v>1104</v>
      </c>
      <c r="T23" s="125"/>
      <c r="U23" s="125"/>
      <c r="V23" s="125"/>
      <c r="W23" s="125">
        <f>+W36</f>
        <v>1242</v>
      </c>
      <c r="X23" s="125"/>
      <c r="Y23" s="125"/>
      <c r="Z23" s="125"/>
      <c r="AA23" s="125">
        <f>+AA36</f>
        <v>1398</v>
      </c>
      <c r="AB23" s="125"/>
      <c r="AC23" s="125"/>
      <c r="AD23" s="125"/>
      <c r="AE23" s="125">
        <f>+AE36</f>
        <v>1573</v>
      </c>
    </row>
    <row r="24" spans="1:31" x14ac:dyDescent="0.25">
      <c r="A24" s="124" t="s">
        <v>32</v>
      </c>
      <c r="B24" s="125"/>
      <c r="C24" s="125"/>
      <c r="D24" s="125"/>
      <c r="E24" s="125">
        <f>E37</f>
        <v>7264</v>
      </c>
      <c r="F24" s="125">
        <f t="shared" ref="F24:AE24" si="13">F37</f>
        <v>7409</v>
      </c>
      <c r="G24" s="125">
        <f t="shared" si="13"/>
        <v>7557</v>
      </c>
      <c r="H24" s="125">
        <f t="shared" si="13"/>
        <v>7708</v>
      </c>
      <c r="I24" s="125">
        <f t="shared" si="13"/>
        <v>7862</v>
      </c>
      <c r="J24" s="125">
        <f t="shared" si="13"/>
        <v>8019</v>
      </c>
      <c r="K24" s="125">
        <f t="shared" si="13"/>
        <v>8179</v>
      </c>
      <c r="L24" s="125">
        <f t="shared" si="13"/>
        <v>8343</v>
      </c>
      <c r="M24" s="125">
        <f t="shared" si="13"/>
        <v>8510</v>
      </c>
      <c r="N24" s="125">
        <f t="shared" si="13"/>
        <v>8680</v>
      </c>
      <c r="O24" s="125">
        <f t="shared" si="13"/>
        <v>8854</v>
      </c>
      <c r="P24" s="125">
        <f t="shared" si="13"/>
        <v>9031</v>
      </c>
      <c r="Q24" s="125">
        <f t="shared" si="13"/>
        <v>9212</v>
      </c>
      <c r="R24" s="125">
        <f t="shared" si="13"/>
        <v>9396</v>
      </c>
      <c r="S24" s="125">
        <f t="shared" si="13"/>
        <v>9584</v>
      </c>
      <c r="T24" s="125">
        <f t="shared" si="13"/>
        <v>9776</v>
      </c>
      <c r="U24" s="125">
        <f t="shared" si="13"/>
        <v>9972</v>
      </c>
      <c r="V24" s="125">
        <f t="shared" si="13"/>
        <v>10171</v>
      </c>
      <c r="W24" s="125">
        <f t="shared" si="13"/>
        <v>10374</v>
      </c>
      <c r="X24" s="125">
        <f t="shared" si="13"/>
        <v>10581</v>
      </c>
      <c r="Y24" s="125">
        <f t="shared" si="13"/>
        <v>10793</v>
      </c>
      <c r="Z24" s="125">
        <f t="shared" si="13"/>
        <v>11009</v>
      </c>
      <c r="AA24" s="125">
        <f t="shared" si="13"/>
        <v>11229</v>
      </c>
      <c r="AB24" s="125">
        <f t="shared" si="13"/>
        <v>11454</v>
      </c>
      <c r="AC24" s="125">
        <f t="shared" si="13"/>
        <v>11683</v>
      </c>
      <c r="AD24" s="125">
        <f t="shared" si="13"/>
        <v>11917</v>
      </c>
      <c r="AE24" s="125">
        <f t="shared" si="13"/>
        <v>12155</v>
      </c>
    </row>
    <row r="25" spans="1:31" x14ac:dyDescent="0.25">
      <c r="A25" s="126" t="s">
        <v>65</v>
      </c>
      <c r="B25" s="125"/>
      <c r="C25" s="125"/>
      <c r="D25" s="125"/>
      <c r="E25" s="125">
        <f>E38</f>
        <v>3669</v>
      </c>
      <c r="F25" s="125">
        <f t="shared" ref="F25:AE25" si="14">F38</f>
        <v>3706</v>
      </c>
      <c r="G25" s="125">
        <f t="shared" si="14"/>
        <v>3743</v>
      </c>
      <c r="H25" s="125">
        <f t="shared" si="14"/>
        <v>3780</v>
      </c>
      <c r="I25" s="125">
        <f t="shared" si="14"/>
        <v>3818</v>
      </c>
      <c r="J25" s="125">
        <f t="shared" si="14"/>
        <v>3856</v>
      </c>
      <c r="K25" s="125">
        <f t="shared" si="14"/>
        <v>3895</v>
      </c>
      <c r="L25" s="125">
        <f t="shared" si="14"/>
        <v>3934</v>
      </c>
      <c r="M25" s="125">
        <f t="shared" si="14"/>
        <v>3973</v>
      </c>
      <c r="N25" s="125">
        <f t="shared" si="14"/>
        <v>4013</v>
      </c>
      <c r="O25" s="125">
        <f t="shared" si="14"/>
        <v>4053</v>
      </c>
      <c r="P25" s="125">
        <f t="shared" si="14"/>
        <v>4094</v>
      </c>
      <c r="Q25" s="125">
        <f t="shared" si="14"/>
        <v>4135</v>
      </c>
      <c r="R25" s="125">
        <f t="shared" si="14"/>
        <v>4176</v>
      </c>
      <c r="S25" s="125">
        <f t="shared" si="14"/>
        <v>4218</v>
      </c>
      <c r="T25" s="125">
        <f t="shared" si="14"/>
        <v>4260</v>
      </c>
      <c r="U25" s="125">
        <f t="shared" si="14"/>
        <v>4303</v>
      </c>
      <c r="V25" s="125">
        <f t="shared" si="14"/>
        <v>4346</v>
      </c>
      <c r="W25" s="125">
        <f t="shared" si="14"/>
        <v>4389</v>
      </c>
      <c r="X25" s="125">
        <f t="shared" si="14"/>
        <v>4433</v>
      </c>
      <c r="Y25" s="125">
        <f t="shared" si="14"/>
        <v>4477</v>
      </c>
      <c r="Z25" s="125">
        <f t="shared" si="14"/>
        <v>4522</v>
      </c>
      <c r="AA25" s="37">
        <f t="shared" si="14"/>
        <v>4567</v>
      </c>
      <c r="AB25" s="46">
        <f t="shared" si="14"/>
        <v>4613</v>
      </c>
      <c r="AC25" s="127">
        <f t="shared" si="14"/>
        <v>4659</v>
      </c>
      <c r="AD25" s="37">
        <f t="shared" si="14"/>
        <v>4706</v>
      </c>
      <c r="AE25" s="37">
        <f t="shared" si="14"/>
        <v>4753</v>
      </c>
    </row>
    <row r="26" spans="1:31" x14ac:dyDescent="0.25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37"/>
      <c r="AB26" s="46"/>
      <c r="AC26" s="127"/>
      <c r="AD26" s="37"/>
      <c r="AE26" s="37"/>
    </row>
    <row r="27" spans="1:31" x14ac:dyDescent="0.25">
      <c r="A27" s="6" t="s">
        <v>5</v>
      </c>
      <c r="B27" s="128">
        <f>SUM(B23:B26)</f>
        <v>0</v>
      </c>
      <c r="C27" s="128">
        <f t="shared" ref="C27:Z27" si="15">SUM(C23:C26)</f>
        <v>688.8</v>
      </c>
      <c r="D27" s="128">
        <f t="shared" si="15"/>
        <v>0</v>
      </c>
      <c r="E27" s="128">
        <f t="shared" si="15"/>
        <v>10933</v>
      </c>
      <c r="F27" s="128">
        <f t="shared" si="15"/>
        <v>11115</v>
      </c>
      <c r="G27" s="128">
        <f t="shared" si="15"/>
        <v>12075</v>
      </c>
      <c r="H27" s="128">
        <f t="shared" si="15"/>
        <v>11488</v>
      </c>
      <c r="I27" s="128">
        <f t="shared" si="15"/>
        <v>11680</v>
      </c>
      <c r="J27" s="128">
        <f t="shared" si="15"/>
        <v>11875</v>
      </c>
      <c r="K27" s="128">
        <f t="shared" si="15"/>
        <v>12946</v>
      </c>
      <c r="L27" s="128">
        <f t="shared" si="15"/>
        <v>12277</v>
      </c>
      <c r="M27" s="128">
        <f t="shared" si="15"/>
        <v>12483</v>
      </c>
      <c r="N27" s="128">
        <f t="shared" si="15"/>
        <v>12693</v>
      </c>
      <c r="O27" s="128">
        <f t="shared" si="15"/>
        <v>13889</v>
      </c>
      <c r="P27" s="128">
        <f t="shared" si="15"/>
        <v>13125</v>
      </c>
      <c r="Q27" s="128">
        <f t="shared" si="15"/>
        <v>13347</v>
      </c>
      <c r="R27" s="128">
        <f t="shared" si="15"/>
        <v>13572</v>
      </c>
      <c r="S27" s="128">
        <f t="shared" si="15"/>
        <v>14906</v>
      </c>
      <c r="T27" s="128">
        <f t="shared" si="15"/>
        <v>14036</v>
      </c>
      <c r="U27" s="128">
        <f t="shared" si="15"/>
        <v>14275</v>
      </c>
      <c r="V27" s="128">
        <f t="shared" si="15"/>
        <v>14517</v>
      </c>
      <c r="W27" s="128">
        <f t="shared" si="15"/>
        <v>16005</v>
      </c>
      <c r="X27" s="128">
        <f t="shared" si="15"/>
        <v>15014</v>
      </c>
      <c r="Y27" s="128">
        <f t="shared" si="15"/>
        <v>15270</v>
      </c>
      <c r="Z27" s="128">
        <f t="shared" si="15"/>
        <v>15531</v>
      </c>
      <c r="AA27" s="128">
        <f t="shared" ref="AA27:AE27" si="16">SUM(AA23:AA26)</f>
        <v>17194</v>
      </c>
      <c r="AB27" s="128">
        <f t="shared" si="16"/>
        <v>16067</v>
      </c>
      <c r="AC27" s="128">
        <f t="shared" si="16"/>
        <v>16342</v>
      </c>
      <c r="AD27" s="128">
        <f t="shared" si="16"/>
        <v>16623</v>
      </c>
      <c r="AE27" s="128">
        <f t="shared" si="16"/>
        <v>18481</v>
      </c>
    </row>
    <row r="28" spans="1:31" x14ac:dyDescent="0.25">
      <c r="A28" s="129" t="s">
        <v>6</v>
      </c>
      <c r="B28" s="130">
        <v>0.8</v>
      </c>
      <c r="C28" s="130">
        <v>0.8</v>
      </c>
      <c r="D28" s="130">
        <v>0.8</v>
      </c>
      <c r="E28" s="130">
        <v>0.8</v>
      </c>
      <c r="F28" s="130">
        <v>0.8</v>
      </c>
      <c r="G28" s="130">
        <v>0.8</v>
      </c>
      <c r="H28" s="130">
        <v>0.8</v>
      </c>
      <c r="I28" s="130">
        <v>0.8</v>
      </c>
      <c r="J28" s="130">
        <v>0.8</v>
      </c>
      <c r="K28" s="130">
        <v>0.8</v>
      </c>
      <c r="L28" s="130">
        <v>0.8</v>
      </c>
      <c r="M28" s="130">
        <v>0.8</v>
      </c>
      <c r="N28" s="130">
        <v>0.8</v>
      </c>
      <c r="O28" s="130">
        <v>0.8</v>
      </c>
      <c r="P28" s="130">
        <v>0.8</v>
      </c>
      <c r="Q28" s="130">
        <v>0.8</v>
      </c>
      <c r="R28" s="130">
        <v>0.8</v>
      </c>
      <c r="S28" s="130">
        <v>0.8</v>
      </c>
      <c r="T28" s="130">
        <v>0.8</v>
      </c>
      <c r="U28" s="130">
        <v>0.8</v>
      </c>
      <c r="V28" s="130">
        <v>0.8</v>
      </c>
      <c r="W28" s="130">
        <v>0.8</v>
      </c>
      <c r="X28" s="130">
        <v>0.8</v>
      </c>
      <c r="Y28" s="130">
        <v>0.8</v>
      </c>
      <c r="Z28" s="130">
        <v>0.8</v>
      </c>
      <c r="AA28" s="130">
        <v>0.8</v>
      </c>
      <c r="AB28" s="130">
        <v>0.8</v>
      </c>
      <c r="AC28" s="130">
        <v>0.8</v>
      </c>
      <c r="AD28" s="130">
        <v>0.8</v>
      </c>
      <c r="AE28" s="130">
        <v>0.8</v>
      </c>
    </row>
    <row r="29" spans="1:31" x14ac:dyDescent="0.25">
      <c r="A29" s="8" t="s">
        <v>7</v>
      </c>
      <c r="B29" s="22">
        <f>B27*B28</f>
        <v>0</v>
      </c>
      <c r="C29" s="22">
        <f t="shared" ref="C29:Z29" si="17">C27*C28</f>
        <v>551.04</v>
      </c>
      <c r="D29" s="22">
        <f t="shared" si="17"/>
        <v>0</v>
      </c>
      <c r="E29" s="22">
        <f t="shared" si="17"/>
        <v>8746.4</v>
      </c>
      <c r="F29" s="22">
        <f t="shared" si="17"/>
        <v>8892</v>
      </c>
      <c r="G29" s="22">
        <f t="shared" si="17"/>
        <v>9660</v>
      </c>
      <c r="H29" s="22">
        <f t="shared" si="17"/>
        <v>9190.4</v>
      </c>
      <c r="I29" s="22">
        <f t="shared" si="17"/>
        <v>9344</v>
      </c>
      <c r="J29" s="22">
        <f t="shared" si="17"/>
        <v>9500</v>
      </c>
      <c r="K29" s="22">
        <f t="shared" si="17"/>
        <v>10356.800000000001</v>
      </c>
      <c r="L29" s="22">
        <f t="shared" si="17"/>
        <v>9821.6</v>
      </c>
      <c r="M29" s="22">
        <f t="shared" si="17"/>
        <v>9986.4000000000015</v>
      </c>
      <c r="N29" s="22">
        <f t="shared" si="17"/>
        <v>10154.400000000001</v>
      </c>
      <c r="O29" s="22">
        <f t="shared" si="17"/>
        <v>11111.2</v>
      </c>
      <c r="P29" s="22">
        <f t="shared" si="17"/>
        <v>10500</v>
      </c>
      <c r="Q29" s="22">
        <f t="shared" si="17"/>
        <v>10677.6</v>
      </c>
      <c r="R29" s="22">
        <f t="shared" si="17"/>
        <v>10857.6</v>
      </c>
      <c r="S29" s="22">
        <f t="shared" si="17"/>
        <v>11924.800000000001</v>
      </c>
      <c r="T29" s="22">
        <f t="shared" si="17"/>
        <v>11228.800000000001</v>
      </c>
      <c r="U29" s="22">
        <f t="shared" si="17"/>
        <v>11420</v>
      </c>
      <c r="V29" s="22">
        <f t="shared" si="17"/>
        <v>11613.6</v>
      </c>
      <c r="W29" s="22">
        <f t="shared" si="17"/>
        <v>12804</v>
      </c>
      <c r="X29" s="22">
        <f t="shared" si="17"/>
        <v>12011.2</v>
      </c>
      <c r="Y29" s="22">
        <f t="shared" si="17"/>
        <v>12216</v>
      </c>
      <c r="Z29" s="22">
        <f t="shared" si="17"/>
        <v>12424.800000000001</v>
      </c>
      <c r="AA29" s="22">
        <f t="shared" ref="AA29:AE29" si="18">AA27*AA28</f>
        <v>13755.2</v>
      </c>
      <c r="AB29" s="22">
        <f t="shared" si="18"/>
        <v>12853.6</v>
      </c>
      <c r="AC29" s="22">
        <f t="shared" si="18"/>
        <v>13073.6</v>
      </c>
      <c r="AD29" s="22">
        <f t="shared" si="18"/>
        <v>13298.400000000001</v>
      </c>
      <c r="AE29" s="22">
        <f t="shared" si="18"/>
        <v>14784.800000000001</v>
      </c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B30" s="26"/>
      <c r="AC30" s="25"/>
    </row>
    <row r="31" spans="1:31" x14ac:dyDescent="0.25">
      <c r="A31" s="4" t="s">
        <v>8</v>
      </c>
      <c r="B31" s="5">
        <f>SUM(B29:Z29)</f>
        <v>234992.63999999998</v>
      </c>
      <c r="C31" s="1"/>
      <c r="D31" s="1"/>
      <c r="E31" s="1"/>
      <c r="F31" s="1"/>
      <c r="G31" s="1"/>
      <c r="H31" s="1"/>
      <c r="I31" s="1"/>
      <c r="J31" s="1"/>
      <c r="K31" s="1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B31" s="26"/>
      <c r="AC31" s="25"/>
    </row>
    <row r="32" spans="1:31" x14ac:dyDescent="0.25"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B32" s="26"/>
      <c r="AC32" s="25"/>
    </row>
    <row r="33" spans="1:31" x14ac:dyDescent="0.25">
      <c r="A33" s="28" t="s">
        <v>78</v>
      </c>
      <c r="B33" s="29">
        <v>0.03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B33" s="26"/>
      <c r="AC33" s="25"/>
    </row>
    <row r="34" spans="1:31" x14ac:dyDescent="0.25">
      <c r="A34" s="28" t="s">
        <v>76</v>
      </c>
      <c r="B34" s="29">
        <v>0.02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B34" s="26"/>
      <c r="AC34" s="25"/>
    </row>
    <row r="35" spans="1:31" x14ac:dyDescent="0.25">
      <c r="A35" s="28" t="s">
        <v>77</v>
      </c>
      <c r="B35" s="29">
        <v>0.01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B35" s="26"/>
      <c r="AC35" s="25"/>
    </row>
    <row r="36" spans="1:31" hidden="1" x14ac:dyDescent="0.25">
      <c r="A36" s="149" t="s">
        <v>28</v>
      </c>
      <c r="B36" s="149"/>
      <c r="C36">
        <f>688800/1000</f>
        <v>688.8</v>
      </c>
      <c r="D36" s="30">
        <f>ROUND(C36*(1+$B$33),0)</f>
        <v>709</v>
      </c>
      <c r="E36">
        <f t="shared" ref="E36:AE36" si="19">ROUND(D36*(1+$B$33),0)</f>
        <v>730</v>
      </c>
      <c r="F36">
        <f t="shared" si="19"/>
        <v>752</v>
      </c>
      <c r="G36">
        <f t="shared" si="19"/>
        <v>775</v>
      </c>
      <c r="H36">
        <f t="shared" si="19"/>
        <v>798</v>
      </c>
      <c r="I36">
        <f t="shared" si="19"/>
        <v>822</v>
      </c>
      <c r="J36">
        <f t="shared" si="19"/>
        <v>847</v>
      </c>
      <c r="K36">
        <f t="shared" si="19"/>
        <v>872</v>
      </c>
      <c r="L36">
        <f t="shared" si="19"/>
        <v>898</v>
      </c>
      <c r="M36">
        <f t="shared" si="19"/>
        <v>925</v>
      </c>
      <c r="N36">
        <f t="shared" si="19"/>
        <v>953</v>
      </c>
      <c r="O36" s="24">
        <f t="shared" si="19"/>
        <v>982</v>
      </c>
      <c r="P36" s="24">
        <f t="shared" si="19"/>
        <v>1011</v>
      </c>
      <c r="Q36" s="24">
        <f t="shared" si="19"/>
        <v>1041</v>
      </c>
      <c r="R36" s="24">
        <f t="shared" si="19"/>
        <v>1072</v>
      </c>
      <c r="S36" s="24">
        <f t="shared" si="19"/>
        <v>1104</v>
      </c>
      <c r="T36" s="24">
        <f t="shared" si="19"/>
        <v>1137</v>
      </c>
      <c r="U36" s="24">
        <f t="shared" si="19"/>
        <v>1171</v>
      </c>
      <c r="V36" s="24">
        <f t="shared" si="19"/>
        <v>1206</v>
      </c>
      <c r="W36" s="24">
        <f t="shared" si="19"/>
        <v>1242</v>
      </c>
      <c r="X36" s="24">
        <f t="shared" si="19"/>
        <v>1279</v>
      </c>
      <c r="Y36" s="24">
        <f t="shared" si="19"/>
        <v>1317</v>
      </c>
      <c r="Z36" s="24">
        <f t="shared" si="19"/>
        <v>1357</v>
      </c>
      <c r="AA36">
        <f t="shared" si="19"/>
        <v>1398</v>
      </c>
      <c r="AB36" s="26">
        <f t="shared" si="19"/>
        <v>1440</v>
      </c>
      <c r="AC36" s="25">
        <f t="shared" si="19"/>
        <v>1483</v>
      </c>
      <c r="AD36">
        <f t="shared" si="19"/>
        <v>1527</v>
      </c>
      <c r="AE36">
        <f t="shared" si="19"/>
        <v>1573</v>
      </c>
    </row>
    <row r="37" spans="1:31" hidden="1" x14ac:dyDescent="0.25">
      <c r="B37" s="45" t="s">
        <v>79</v>
      </c>
      <c r="C37">
        <v>6982</v>
      </c>
      <c r="D37" s="30">
        <f>ROUND(C37*(1+$B$34),0)</f>
        <v>7122</v>
      </c>
      <c r="E37">
        <f t="shared" ref="E37:AE37" si="20">ROUND(D37*(1+$B$34),0)</f>
        <v>7264</v>
      </c>
      <c r="F37">
        <f t="shared" si="20"/>
        <v>7409</v>
      </c>
      <c r="G37">
        <f t="shared" si="20"/>
        <v>7557</v>
      </c>
      <c r="H37">
        <f t="shared" si="20"/>
        <v>7708</v>
      </c>
      <c r="I37">
        <f t="shared" si="20"/>
        <v>7862</v>
      </c>
      <c r="J37">
        <f t="shared" si="20"/>
        <v>8019</v>
      </c>
      <c r="K37">
        <f t="shared" si="20"/>
        <v>8179</v>
      </c>
      <c r="L37">
        <f t="shared" si="20"/>
        <v>8343</v>
      </c>
      <c r="M37">
        <f t="shared" si="20"/>
        <v>8510</v>
      </c>
      <c r="N37">
        <f t="shared" si="20"/>
        <v>8680</v>
      </c>
      <c r="O37" s="24">
        <f t="shared" si="20"/>
        <v>8854</v>
      </c>
      <c r="P37" s="24">
        <f t="shared" si="20"/>
        <v>9031</v>
      </c>
      <c r="Q37" s="24">
        <f t="shared" si="20"/>
        <v>9212</v>
      </c>
      <c r="R37" s="24">
        <f t="shared" si="20"/>
        <v>9396</v>
      </c>
      <c r="S37" s="24">
        <f t="shared" si="20"/>
        <v>9584</v>
      </c>
      <c r="T37" s="24">
        <f t="shared" si="20"/>
        <v>9776</v>
      </c>
      <c r="U37" s="24">
        <f t="shared" si="20"/>
        <v>9972</v>
      </c>
      <c r="V37" s="24">
        <f t="shared" si="20"/>
        <v>10171</v>
      </c>
      <c r="W37" s="24">
        <f t="shared" si="20"/>
        <v>10374</v>
      </c>
      <c r="X37" s="24">
        <f t="shared" si="20"/>
        <v>10581</v>
      </c>
      <c r="Y37" s="24">
        <f t="shared" si="20"/>
        <v>10793</v>
      </c>
      <c r="Z37" s="24">
        <f t="shared" si="20"/>
        <v>11009</v>
      </c>
      <c r="AA37">
        <f t="shared" si="20"/>
        <v>11229</v>
      </c>
      <c r="AB37" s="26">
        <f t="shared" si="20"/>
        <v>11454</v>
      </c>
      <c r="AC37" s="25">
        <f t="shared" si="20"/>
        <v>11683</v>
      </c>
      <c r="AD37">
        <f t="shared" si="20"/>
        <v>11917</v>
      </c>
      <c r="AE37">
        <f t="shared" si="20"/>
        <v>12155</v>
      </c>
    </row>
    <row r="38" spans="1:31" hidden="1" x14ac:dyDescent="0.25">
      <c r="B38" s="45" t="s">
        <v>80</v>
      </c>
      <c r="C38">
        <v>3597</v>
      </c>
      <c r="D38" s="30">
        <f>ROUND(C38*(1+$B$35),0)</f>
        <v>3633</v>
      </c>
      <c r="E38">
        <f t="shared" ref="E38:AE38" si="21">ROUND(D38*(1+$B$35),0)</f>
        <v>3669</v>
      </c>
      <c r="F38">
        <f t="shared" si="21"/>
        <v>3706</v>
      </c>
      <c r="G38">
        <f t="shared" si="21"/>
        <v>3743</v>
      </c>
      <c r="H38">
        <f t="shared" si="21"/>
        <v>3780</v>
      </c>
      <c r="I38">
        <f t="shared" si="21"/>
        <v>3818</v>
      </c>
      <c r="J38">
        <f t="shared" si="21"/>
        <v>3856</v>
      </c>
      <c r="K38">
        <f t="shared" si="21"/>
        <v>3895</v>
      </c>
      <c r="L38">
        <f t="shared" si="21"/>
        <v>3934</v>
      </c>
      <c r="M38">
        <f t="shared" si="21"/>
        <v>3973</v>
      </c>
      <c r="N38">
        <f t="shared" si="21"/>
        <v>4013</v>
      </c>
      <c r="O38" s="24">
        <f t="shared" si="21"/>
        <v>4053</v>
      </c>
      <c r="P38" s="24">
        <f t="shared" si="21"/>
        <v>4094</v>
      </c>
      <c r="Q38" s="24">
        <f t="shared" si="21"/>
        <v>4135</v>
      </c>
      <c r="R38" s="24">
        <f t="shared" si="21"/>
        <v>4176</v>
      </c>
      <c r="S38" s="24">
        <f t="shared" si="21"/>
        <v>4218</v>
      </c>
      <c r="T38" s="24">
        <f t="shared" si="21"/>
        <v>4260</v>
      </c>
      <c r="U38" s="24">
        <f t="shared" si="21"/>
        <v>4303</v>
      </c>
      <c r="V38" s="24">
        <f t="shared" si="21"/>
        <v>4346</v>
      </c>
      <c r="W38" s="24">
        <f t="shared" si="21"/>
        <v>4389</v>
      </c>
      <c r="X38" s="24">
        <f t="shared" si="21"/>
        <v>4433</v>
      </c>
      <c r="Y38" s="24">
        <f t="shared" si="21"/>
        <v>4477</v>
      </c>
      <c r="Z38" s="24">
        <f t="shared" si="21"/>
        <v>4522</v>
      </c>
      <c r="AA38">
        <f t="shared" si="21"/>
        <v>4567</v>
      </c>
      <c r="AB38" s="26">
        <f t="shared" si="21"/>
        <v>4613</v>
      </c>
      <c r="AC38" s="25">
        <f t="shared" si="21"/>
        <v>4659</v>
      </c>
      <c r="AD38">
        <f t="shared" si="21"/>
        <v>4706</v>
      </c>
      <c r="AE38">
        <f t="shared" si="21"/>
        <v>4753</v>
      </c>
    </row>
    <row r="39" spans="1:31" x14ac:dyDescent="0.25">
      <c r="Q39" s="24"/>
      <c r="R39" s="24"/>
      <c r="S39" s="24"/>
      <c r="T39" s="24"/>
      <c r="U39" s="24"/>
      <c r="V39" s="24"/>
      <c r="W39" s="24"/>
      <c r="X39" s="24"/>
      <c r="Y39" s="24"/>
      <c r="Z39" s="24"/>
      <c r="AB39" s="26"/>
      <c r="AC39" s="25"/>
    </row>
    <row r="40" spans="1:31" ht="20.25" x14ac:dyDescent="0.3">
      <c r="A40" s="49" t="s">
        <v>102</v>
      </c>
      <c r="C40" s="1"/>
      <c r="D40" s="1"/>
      <c r="E40" s="1"/>
      <c r="F40" s="1"/>
      <c r="G40" s="1"/>
      <c r="H40" s="1"/>
      <c r="I40" s="1"/>
      <c r="J40" s="1"/>
      <c r="K40" s="1"/>
      <c r="AB40" s="26"/>
      <c r="AC40" s="25"/>
    </row>
    <row r="41" spans="1:3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AB41" s="26"/>
      <c r="AC41" s="25"/>
    </row>
    <row r="42" spans="1:31" x14ac:dyDescent="0.25">
      <c r="A42" s="1"/>
      <c r="B42" s="148" t="s">
        <v>0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</row>
    <row r="43" spans="1:31" x14ac:dyDescent="0.25">
      <c r="A43" s="7" t="s">
        <v>9</v>
      </c>
      <c r="B43" s="139">
        <f>+B6</f>
        <v>2016</v>
      </c>
      <c r="C43" s="139">
        <f>B43+1</f>
        <v>2017</v>
      </c>
      <c r="D43" s="139">
        <f t="shared" ref="D43:Z43" si="22">C43+1</f>
        <v>2018</v>
      </c>
      <c r="E43" s="139">
        <f t="shared" si="22"/>
        <v>2019</v>
      </c>
      <c r="F43" s="139">
        <f t="shared" si="22"/>
        <v>2020</v>
      </c>
      <c r="G43" s="139">
        <f t="shared" si="22"/>
        <v>2021</v>
      </c>
      <c r="H43" s="139">
        <f t="shared" si="22"/>
        <v>2022</v>
      </c>
      <c r="I43" s="139">
        <f t="shared" si="22"/>
        <v>2023</v>
      </c>
      <c r="J43" s="139">
        <f t="shared" si="22"/>
        <v>2024</v>
      </c>
      <c r="K43" s="139">
        <f t="shared" si="22"/>
        <v>2025</v>
      </c>
      <c r="L43" s="139">
        <f t="shared" si="22"/>
        <v>2026</v>
      </c>
      <c r="M43" s="139">
        <f t="shared" si="22"/>
        <v>2027</v>
      </c>
      <c r="N43" s="139">
        <f t="shared" si="22"/>
        <v>2028</v>
      </c>
      <c r="O43" s="139">
        <f t="shared" si="22"/>
        <v>2029</v>
      </c>
      <c r="P43" s="139">
        <f t="shared" si="22"/>
        <v>2030</v>
      </c>
      <c r="Q43" s="139">
        <f t="shared" si="22"/>
        <v>2031</v>
      </c>
      <c r="R43" s="139">
        <f t="shared" si="22"/>
        <v>2032</v>
      </c>
      <c r="S43" s="139">
        <f t="shared" si="22"/>
        <v>2033</v>
      </c>
      <c r="T43" s="139">
        <f t="shared" si="22"/>
        <v>2034</v>
      </c>
      <c r="U43" s="139">
        <f t="shared" si="22"/>
        <v>2035</v>
      </c>
      <c r="V43" s="139">
        <f t="shared" si="22"/>
        <v>2036</v>
      </c>
      <c r="W43" s="139">
        <f t="shared" si="22"/>
        <v>2037</v>
      </c>
      <c r="X43" s="139">
        <f t="shared" si="22"/>
        <v>2038</v>
      </c>
      <c r="Y43" s="139">
        <f t="shared" si="22"/>
        <v>2039</v>
      </c>
      <c r="Z43" s="139">
        <f t="shared" si="22"/>
        <v>2040</v>
      </c>
      <c r="AA43" s="139">
        <f t="shared" ref="AA43" si="23">Z43+1</f>
        <v>2041</v>
      </c>
      <c r="AB43" s="139">
        <f t="shared" ref="AB43" si="24">AA43+1</f>
        <v>2042</v>
      </c>
      <c r="AC43" s="139">
        <f t="shared" ref="AC43" si="25">AB43+1</f>
        <v>2043</v>
      </c>
      <c r="AD43" s="139">
        <f t="shared" ref="AD43" si="26">AC43+1</f>
        <v>2044</v>
      </c>
      <c r="AE43" s="139">
        <f t="shared" ref="AE43" si="27">AD43+1</f>
        <v>2045</v>
      </c>
    </row>
    <row r="44" spans="1:31" x14ac:dyDescent="0.25">
      <c r="A44" s="8" t="s">
        <v>10</v>
      </c>
      <c r="B44" s="22">
        <f t="shared" ref="B44:AE44" si="28">-B13</f>
        <v>-542</v>
      </c>
      <c r="C44" s="22">
        <f t="shared" si="28"/>
        <v>-542</v>
      </c>
      <c r="D44" s="22">
        <f t="shared" si="28"/>
        <v>-4310</v>
      </c>
      <c r="E44" s="22">
        <f t="shared" si="28"/>
        <v>-4310</v>
      </c>
      <c r="F44" s="22">
        <f t="shared" si="28"/>
        <v>0</v>
      </c>
      <c r="G44" s="22">
        <f t="shared" si="28"/>
        <v>-10</v>
      </c>
      <c r="H44" s="22">
        <f t="shared" si="28"/>
        <v>0</v>
      </c>
      <c r="I44" s="22">
        <f t="shared" si="28"/>
        <v>-10.600000000000001</v>
      </c>
      <c r="J44" s="22">
        <f t="shared" si="28"/>
        <v>0</v>
      </c>
      <c r="K44" s="22">
        <f t="shared" si="28"/>
        <v>-11.236000000000002</v>
      </c>
      <c r="L44" s="22">
        <f t="shared" si="28"/>
        <v>0</v>
      </c>
      <c r="M44" s="22">
        <f t="shared" si="28"/>
        <v>-11.910160000000003</v>
      </c>
      <c r="N44" s="22">
        <f t="shared" si="28"/>
        <v>0</v>
      </c>
      <c r="O44" s="22">
        <f t="shared" si="28"/>
        <v>-12.624769600000004</v>
      </c>
      <c r="P44" s="22">
        <f t="shared" si="28"/>
        <v>0</v>
      </c>
      <c r="Q44" s="22">
        <f t="shared" si="28"/>
        <v>-13.382255776000004</v>
      </c>
      <c r="R44" s="22">
        <f t="shared" si="28"/>
        <v>0</v>
      </c>
      <c r="S44" s="22">
        <f t="shared" si="28"/>
        <v>-14.185191122560006</v>
      </c>
      <c r="T44" s="22">
        <f t="shared" si="28"/>
        <v>0</v>
      </c>
      <c r="U44" s="22">
        <f t="shared" si="28"/>
        <v>-15.036302589913607</v>
      </c>
      <c r="V44" s="22">
        <f t="shared" si="28"/>
        <v>0</v>
      </c>
      <c r="W44" s="22">
        <f t="shared" si="28"/>
        <v>-15.938480745308425</v>
      </c>
      <c r="X44" s="22">
        <f t="shared" si="28"/>
        <v>0</v>
      </c>
      <c r="Y44" s="22">
        <f t="shared" si="28"/>
        <v>-16.894789590026932</v>
      </c>
      <c r="Z44" s="22">
        <f t="shared" si="28"/>
        <v>0</v>
      </c>
      <c r="AA44" s="22">
        <f t="shared" si="28"/>
        <v>-17.908476965428548</v>
      </c>
      <c r="AB44" s="22">
        <f t="shared" si="28"/>
        <v>0</v>
      </c>
      <c r="AC44" s="22">
        <f t="shared" si="28"/>
        <v>-18.98298558335426</v>
      </c>
      <c r="AD44" s="22">
        <f t="shared" si="28"/>
        <v>0</v>
      </c>
      <c r="AE44" s="22">
        <f t="shared" si="28"/>
        <v>-20.121964718355517</v>
      </c>
    </row>
    <row r="45" spans="1:31" x14ac:dyDescent="0.25">
      <c r="A45" s="8" t="s">
        <v>11</v>
      </c>
      <c r="B45" s="22">
        <f t="shared" ref="B45:AE45" si="29">+B29</f>
        <v>0</v>
      </c>
      <c r="C45" s="22">
        <f t="shared" si="29"/>
        <v>551.04</v>
      </c>
      <c r="D45" s="22">
        <f t="shared" si="29"/>
        <v>0</v>
      </c>
      <c r="E45" s="22">
        <f t="shared" si="29"/>
        <v>8746.4</v>
      </c>
      <c r="F45" s="22">
        <f t="shared" si="29"/>
        <v>8892</v>
      </c>
      <c r="G45" s="22">
        <f t="shared" si="29"/>
        <v>9660</v>
      </c>
      <c r="H45" s="22">
        <f t="shared" si="29"/>
        <v>9190.4</v>
      </c>
      <c r="I45" s="22">
        <f t="shared" si="29"/>
        <v>9344</v>
      </c>
      <c r="J45" s="22">
        <f t="shared" si="29"/>
        <v>9500</v>
      </c>
      <c r="K45" s="22">
        <f t="shared" si="29"/>
        <v>10356.800000000001</v>
      </c>
      <c r="L45" s="22">
        <f t="shared" si="29"/>
        <v>9821.6</v>
      </c>
      <c r="M45" s="22">
        <f t="shared" si="29"/>
        <v>9986.4000000000015</v>
      </c>
      <c r="N45" s="22">
        <f t="shared" si="29"/>
        <v>10154.400000000001</v>
      </c>
      <c r="O45" s="22">
        <f t="shared" si="29"/>
        <v>11111.2</v>
      </c>
      <c r="P45" s="22">
        <f t="shared" si="29"/>
        <v>10500</v>
      </c>
      <c r="Q45" s="22">
        <f t="shared" si="29"/>
        <v>10677.6</v>
      </c>
      <c r="R45" s="22">
        <f t="shared" si="29"/>
        <v>10857.6</v>
      </c>
      <c r="S45" s="22">
        <f t="shared" si="29"/>
        <v>11924.800000000001</v>
      </c>
      <c r="T45" s="22">
        <f t="shared" si="29"/>
        <v>11228.800000000001</v>
      </c>
      <c r="U45" s="22">
        <f t="shared" si="29"/>
        <v>11420</v>
      </c>
      <c r="V45" s="22">
        <f t="shared" si="29"/>
        <v>11613.6</v>
      </c>
      <c r="W45" s="22">
        <f t="shared" si="29"/>
        <v>12804</v>
      </c>
      <c r="X45" s="22">
        <f t="shared" si="29"/>
        <v>12011.2</v>
      </c>
      <c r="Y45" s="22">
        <f t="shared" si="29"/>
        <v>12216</v>
      </c>
      <c r="Z45" s="22">
        <f t="shared" si="29"/>
        <v>12424.800000000001</v>
      </c>
      <c r="AA45" s="22">
        <f t="shared" si="29"/>
        <v>13755.2</v>
      </c>
      <c r="AB45" s="22">
        <f t="shared" si="29"/>
        <v>12853.6</v>
      </c>
      <c r="AC45" s="22">
        <f t="shared" si="29"/>
        <v>13073.6</v>
      </c>
      <c r="AD45" s="22">
        <f t="shared" si="29"/>
        <v>13298.400000000001</v>
      </c>
      <c r="AE45" s="22">
        <f t="shared" si="29"/>
        <v>14784.800000000001</v>
      </c>
    </row>
    <row r="46" spans="1:31" x14ac:dyDescent="0.25">
      <c r="A46" s="9" t="s">
        <v>12</v>
      </c>
      <c r="B46" s="22">
        <f>SUM(B44:B45)</f>
        <v>-542</v>
      </c>
      <c r="C46" s="22">
        <f t="shared" ref="C46:AE46" si="30">SUM(C44:C45)</f>
        <v>9.0399999999999636</v>
      </c>
      <c r="D46" s="22">
        <f t="shared" si="30"/>
        <v>-4310</v>
      </c>
      <c r="E46" s="22">
        <f t="shared" si="30"/>
        <v>4436.3999999999996</v>
      </c>
      <c r="F46" s="22">
        <f t="shared" si="30"/>
        <v>8892</v>
      </c>
      <c r="G46" s="22">
        <f t="shared" si="30"/>
        <v>9650</v>
      </c>
      <c r="H46" s="22">
        <f t="shared" si="30"/>
        <v>9190.4</v>
      </c>
      <c r="I46" s="22">
        <f t="shared" si="30"/>
        <v>9333.4</v>
      </c>
      <c r="J46" s="22">
        <f t="shared" si="30"/>
        <v>9500</v>
      </c>
      <c r="K46" s="22">
        <f t="shared" si="30"/>
        <v>10345.564</v>
      </c>
      <c r="L46" s="22">
        <f t="shared" si="30"/>
        <v>9821.6</v>
      </c>
      <c r="M46" s="22">
        <f t="shared" si="30"/>
        <v>9974.489840000002</v>
      </c>
      <c r="N46" s="22">
        <f t="shared" si="30"/>
        <v>10154.400000000001</v>
      </c>
      <c r="O46" s="22">
        <f t="shared" si="30"/>
        <v>11098.575230400002</v>
      </c>
      <c r="P46" s="22">
        <f t="shared" si="30"/>
        <v>10500</v>
      </c>
      <c r="Q46" s="22">
        <f t="shared" si="30"/>
        <v>10664.217744224001</v>
      </c>
      <c r="R46" s="22">
        <f t="shared" si="30"/>
        <v>10857.6</v>
      </c>
      <c r="S46" s="22">
        <f t="shared" si="30"/>
        <v>11910.614808877441</v>
      </c>
      <c r="T46" s="22">
        <f t="shared" si="30"/>
        <v>11228.800000000001</v>
      </c>
      <c r="U46" s="22">
        <f t="shared" si="30"/>
        <v>11404.963697410087</v>
      </c>
      <c r="V46" s="22">
        <f t="shared" si="30"/>
        <v>11613.6</v>
      </c>
      <c r="W46" s="22">
        <f t="shared" si="30"/>
        <v>12788.061519254692</v>
      </c>
      <c r="X46" s="22">
        <f t="shared" si="30"/>
        <v>12011.2</v>
      </c>
      <c r="Y46" s="22">
        <f t="shared" si="30"/>
        <v>12199.105210409973</v>
      </c>
      <c r="Z46" s="22">
        <f t="shared" si="30"/>
        <v>12424.800000000001</v>
      </c>
      <c r="AA46" s="22">
        <f t="shared" si="30"/>
        <v>13737.291523034572</v>
      </c>
      <c r="AB46" s="22">
        <f t="shared" si="30"/>
        <v>12853.6</v>
      </c>
      <c r="AC46" s="22">
        <f t="shared" si="30"/>
        <v>13054.617014416646</v>
      </c>
      <c r="AD46" s="22">
        <f t="shared" si="30"/>
        <v>13298.400000000001</v>
      </c>
      <c r="AE46" s="22">
        <f t="shared" si="30"/>
        <v>14764.678035281646</v>
      </c>
    </row>
    <row r="47" spans="1:31" x14ac:dyDescent="0.25">
      <c r="A47" s="10" t="s">
        <v>13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AB47" s="26"/>
      <c r="AC47" s="25"/>
    </row>
    <row r="48" spans="1:31" x14ac:dyDescent="0.25">
      <c r="A48" s="141" t="s">
        <v>14</v>
      </c>
      <c r="B48" s="142">
        <v>7.0000000000000007E-2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31" x14ac:dyDescent="0.25">
      <c r="A49" s="141" t="s">
        <v>15</v>
      </c>
      <c r="B49" s="143">
        <v>2016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31" x14ac:dyDescent="0.25">
      <c r="A50" s="11" t="s">
        <v>16</v>
      </c>
      <c r="B50" s="12">
        <f t="shared" ref="B50:Z50" si="31">+B43-$B$49</f>
        <v>0</v>
      </c>
      <c r="C50" s="13">
        <f t="shared" si="31"/>
        <v>1</v>
      </c>
      <c r="D50" s="14">
        <f t="shared" si="31"/>
        <v>2</v>
      </c>
      <c r="E50" s="15">
        <f t="shared" si="31"/>
        <v>3</v>
      </c>
      <c r="F50" s="14">
        <f t="shared" si="31"/>
        <v>4</v>
      </c>
      <c r="G50" s="15">
        <f t="shared" si="31"/>
        <v>5</v>
      </c>
      <c r="H50" s="14">
        <f t="shared" si="31"/>
        <v>6</v>
      </c>
      <c r="I50" s="15">
        <f t="shared" si="31"/>
        <v>7</v>
      </c>
      <c r="J50" s="14">
        <f t="shared" si="31"/>
        <v>8</v>
      </c>
      <c r="K50" s="15">
        <f t="shared" si="31"/>
        <v>9</v>
      </c>
      <c r="L50" s="15">
        <f t="shared" si="31"/>
        <v>10</v>
      </c>
      <c r="M50" s="15">
        <f t="shared" si="31"/>
        <v>11</v>
      </c>
      <c r="N50" s="15">
        <f t="shared" si="31"/>
        <v>12</v>
      </c>
      <c r="O50" s="15">
        <f t="shared" si="31"/>
        <v>13</v>
      </c>
      <c r="P50" s="15">
        <f t="shared" si="31"/>
        <v>14</v>
      </c>
      <c r="Q50" s="15">
        <f t="shared" si="31"/>
        <v>15</v>
      </c>
      <c r="R50" s="15">
        <f t="shared" si="31"/>
        <v>16</v>
      </c>
      <c r="S50" s="15">
        <f t="shared" si="31"/>
        <v>17</v>
      </c>
      <c r="T50" s="15">
        <f t="shared" si="31"/>
        <v>18</v>
      </c>
      <c r="U50" s="15">
        <f t="shared" si="31"/>
        <v>19</v>
      </c>
      <c r="V50" s="15">
        <f t="shared" si="31"/>
        <v>20</v>
      </c>
      <c r="W50" s="15">
        <f t="shared" si="31"/>
        <v>21</v>
      </c>
      <c r="X50" s="15">
        <f t="shared" si="31"/>
        <v>22</v>
      </c>
      <c r="Y50" s="15">
        <f t="shared" si="31"/>
        <v>23</v>
      </c>
      <c r="Z50" s="15">
        <f t="shared" si="31"/>
        <v>24</v>
      </c>
      <c r="AA50">
        <f t="shared" ref="AA50:AE50" si="32">+AA43-$B$49</f>
        <v>25</v>
      </c>
      <c r="AB50">
        <f t="shared" si="32"/>
        <v>26</v>
      </c>
      <c r="AC50">
        <f t="shared" si="32"/>
        <v>27</v>
      </c>
      <c r="AD50">
        <f t="shared" si="32"/>
        <v>28</v>
      </c>
      <c r="AE50">
        <f t="shared" si="32"/>
        <v>29</v>
      </c>
    </row>
    <row r="51" spans="1:31" x14ac:dyDescent="0.25">
      <c r="A51" s="1" t="s">
        <v>17</v>
      </c>
      <c r="B51" s="16">
        <f>1/((1+$B$48)^B50)</f>
        <v>1</v>
      </c>
      <c r="C51" s="16">
        <f t="shared" ref="C51:AE51" si="33">1/((1+$B$48)^C50)</f>
        <v>0.93457943925233644</v>
      </c>
      <c r="D51" s="16">
        <f t="shared" si="33"/>
        <v>0.87343872827321156</v>
      </c>
      <c r="E51" s="16">
        <f t="shared" si="33"/>
        <v>0.81629787689085187</v>
      </c>
      <c r="F51" s="16">
        <f t="shared" si="33"/>
        <v>0.7628952120475252</v>
      </c>
      <c r="G51" s="16">
        <f t="shared" si="33"/>
        <v>0.71298617948366838</v>
      </c>
      <c r="H51" s="16">
        <f t="shared" si="33"/>
        <v>0.66634222381651254</v>
      </c>
      <c r="I51" s="16">
        <f t="shared" si="33"/>
        <v>0.62274974188459109</v>
      </c>
      <c r="J51" s="16">
        <f t="shared" si="33"/>
        <v>0.5820091045650384</v>
      </c>
      <c r="K51" s="16">
        <f t="shared" si="33"/>
        <v>0.54393374258414806</v>
      </c>
      <c r="L51" s="16">
        <f t="shared" si="33"/>
        <v>0.5083492921347178</v>
      </c>
      <c r="M51" s="16">
        <f t="shared" si="33"/>
        <v>0.47509279638758667</v>
      </c>
      <c r="N51" s="16">
        <f t="shared" si="33"/>
        <v>0.44401195924073528</v>
      </c>
      <c r="O51" s="16">
        <f t="shared" si="33"/>
        <v>0.41496444788853759</v>
      </c>
      <c r="P51" s="16">
        <f t="shared" si="33"/>
        <v>0.3878172410173249</v>
      </c>
      <c r="Q51" s="16">
        <f t="shared" si="33"/>
        <v>0.36244601964235967</v>
      </c>
      <c r="R51" s="16">
        <f t="shared" si="33"/>
        <v>0.33873459779659787</v>
      </c>
      <c r="S51" s="16">
        <f t="shared" si="33"/>
        <v>0.31657439046411018</v>
      </c>
      <c r="T51" s="16">
        <f t="shared" si="33"/>
        <v>0.29586391632159825</v>
      </c>
      <c r="U51" s="16">
        <f t="shared" si="33"/>
        <v>0.27650833301083949</v>
      </c>
      <c r="V51" s="16">
        <f t="shared" si="33"/>
        <v>0.2584190028138687</v>
      </c>
      <c r="W51" s="16">
        <f t="shared" si="33"/>
        <v>0.24151308674193336</v>
      </c>
      <c r="X51" s="16">
        <f t="shared" si="33"/>
        <v>0.22571316517937698</v>
      </c>
      <c r="Y51" s="16">
        <f t="shared" si="33"/>
        <v>0.21094688334521211</v>
      </c>
      <c r="Z51" s="16">
        <f t="shared" si="33"/>
        <v>0.19714661994879637</v>
      </c>
      <c r="AA51">
        <f t="shared" si="33"/>
        <v>0.18424917752223957</v>
      </c>
      <c r="AB51">
        <f t="shared" si="33"/>
        <v>0.17219549301143888</v>
      </c>
      <c r="AC51">
        <f t="shared" si="33"/>
        <v>0.16093036730041013</v>
      </c>
      <c r="AD51">
        <f t="shared" si="33"/>
        <v>0.15040221243028987</v>
      </c>
      <c r="AE51">
        <f t="shared" si="33"/>
        <v>0.1405628153554111</v>
      </c>
    </row>
    <row r="52" spans="1:31" x14ac:dyDescent="0.25">
      <c r="A52" s="17" t="s">
        <v>18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</row>
    <row r="53" spans="1:31" x14ac:dyDescent="0.25">
      <c r="A53" s="18" t="s">
        <v>10</v>
      </c>
      <c r="B53" s="23">
        <f>B44*B$51</f>
        <v>-542</v>
      </c>
      <c r="C53" s="23">
        <f t="shared" ref="C53:AE53" si="34">C44*C$51</f>
        <v>-506.54205607476638</v>
      </c>
      <c r="D53" s="23">
        <f t="shared" si="34"/>
        <v>-3764.5209188575418</v>
      </c>
      <c r="E53" s="23">
        <f t="shared" si="34"/>
        <v>-3518.2438493995714</v>
      </c>
      <c r="F53" s="23">
        <f t="shared" si="34"/>
        <v>0</v>
      </c>
      <c r="G53" s="23">
        <f t="shared" si="34"/>
        <v>-7.1298617948366836</v>
      </c>
      <c r="H53" s="23">
        <f t="shared" si="34"/>
        <v>0</v>
      </c>
      <c r="I53" s="23">
        <f t="shared" si="34"/>
        <v>-6.6011472639766664</v>
      </c>
      <c r="J53" s="23">
        <f t="shared" si="34"/>
        <v>0</v>
      </c>
      <c r="K53" s="23">
        <f t="shared" si="34"/>
        <v>-6.1116395316754888</v>
      </c>
      <c r="L53" s="23">
        <f t="shared" si="34"/>
        <v>0</v>
      </c>
      <c r="M53" s="23">
        <f t="shared" si="34"/>
        <v>-5.6584312198235809</v>
      </c>
      <c r="N53" s="23">
        <f t="shared" si="34"/>
        <v>0</v>
      </c>
      <c r="O53" s="23">
        <f t="shared" si="34"/>
        <v>-5.2388305467839951</v>
      </c>
      <c r="P53" s="23">
        <f t="shared" si="34"/>
        <v>0</v>
      </c>
      <c r="Q53" s="23">
        <f t="shared" si="34"/>
        <v>-4.8503453398471787</v>
      </c>
      <c r="R53" s="23">
        <f t="shared" si="34"/>
        <v>0</v>
      </c>
      <c r="S53" s="23">
        <f t="shared" si="34"/>
        <v>-4.4906682332413412</v>
      </c>
      <c r="T53" s="23">
        <f t="shared" si="34"/>
        <v>0</v>
      </c>
      <c r="U53" s="23">
        <f t="shared" si="34"/>
        <v>-4.1576629637835802</v>
      </c>
      <c r="V53" s="23">
        <f t="shared" si="34"/>
        <v>0</v>
      </c>
      <c r="W53" s="23">
        <f t="shared" si="34"/>
        <v>-3.8493516827763083</v>
      </c>
      <c r="X53" s="23">
        <f t="shared" si="34"/>
        <v>0</v>
      </c>
      <c r="Y53" s="23">
        <f t="shared" si="34"/>
        <v>-3.563903208789315</v>
      </c>
      <c r="Z53" s="23">
        <f t="shared" si="34"/>
        <v>0</v>
      </c>
      <c r="AA53" s="23">
        <f t="shared" si="34"/>
        <v>-3.2996221515561825</v>
      </c>
      <c r="AB53" s="23">
        <f t="shared" si="34"/>
        <v>0</v>
      </c>
      <c r="AC53" s="23">
        <f t="shared" si="34"/>
        <v>-3.0549388423875916</v>
      </c>
      <c r="AD53" s="23">
        <f t="shared" si="34"/>
        <v>0</v>
      </c>
      <c r="AE53" s="23">
        <f t="shared" si="34"/>
        <v>-2.8284000112943031</v>
      </c>
    </row>
    <row r="54" spans="1:31" x14ac:dyDescent="0.25">
      <c r="A54" s="18" t="s">
        <v>11</v>
      </c>
      <c r="B54" s="23">
        <f>B45*B$51</f>
        <v>0</v>
      </c>
      <c r="C54" s="23">
        <f t="shared" ref="C54:AE54" si="35">C45*C$51</f>
        <v>514.99065420560748</v>
      </c>
      <c r="D54" s="23">
        <f t="shared" si="35"/>
        <v>0</v>
      </c>
      <c r="E54" s="23">
        <f t="shared" si="35"/>
        <v>7139.6677504381469</v>
      </c>
      <c r="F54" s="23">
        <f t="shared" si="35"/>
        <v>6783.6642255265942</v>
      </c>
      <c r="G54" s="23">
        <f t="shared" si="35"/>
        <v>6887.4464938122364</v>
      </c>
      <c r="H54" s="23">
        <f t="shared" si="35"/>
        <v>6123.9515737632764</v>
      </c>
      <c r="I54" s="23">
        <f t="shared" si="35"/>
        <v>5818.9735881696188</v>
      </c>
      <c r="J54" s="23">
        <f t="shared" si="35"/>
        <v>5529.0864933678649</v>
      </c>
      <c r="K54" s="23">
        <f t="shared" si="35"/>
        <v>5633.4129851955049</v>
      </c>
      <c r="L54" s="23">
        <f t="shared" si="35"/>
        <v>4992.8034076303447</v>
      </c>
      <c r="M54" s="23">
        <f t="shared" si="35"/>
        <v>4744.4667018449964</v>
      </c>
      <c r="N54" s="23">
        <f t="shared" si="35"/>
        <v>4508.6750389141225</v>
      </c>
      <c r="O54" s="23">
        <f t="shared" si="35"/>
        <v>4610.7529733791189</v>
      </c>
      <c r="P54" s="23">
        <f t="shared" si="35"/>
        <v>4072.0810306819112</v>
      </c>
      <c r="Q54" s="23">
        <f t="shared" si="35"/>
        <v>3870.0536193332596</v>
      </c>
      <c r="R54" s="23">
        <f t="shared" si="35"/>
        <v>3677.8447690363409</v>
      </c>
      <c r="S54" s="23">
        <f t="shared" si="35"/>
        <v>3775.0862914064214</v>
      </c>
      <c r="T54" s="23">
        <f t="shared" si="35"/>
        <v>3322.1967435919628</v>
      </c>
      <c r="U54" s="23">
        <f t="shared" si="35"/>
        <v>3157.725162983787</v>
      </c>
      <c r="V54" s="23">
        <f t="shared" si="35"/>
        <v>3001.1749310791456</v>
      </c>
      <c r="W54" s="23">
        <f t="shared" si="35"/>
        <v>3092.3335626437147</v>
      </c>
      <c r="X54" s="23">
        <f t="shared" si="35"/>
        <v>2711.0859696025327</v>
      </c>
      <c r="Y54" s="23">
        <f t="shared" si="35"/>
        <v>2576.927126945111</v>
      </c>
      <c r="Z54" s="23">
        <f t="shared" si="35"/>
        <v>2449.5073235398054</v>
      </c>
      <c r="AA54" s="23">
        <f t="shared" si="35"/>
        <v>2534.3842866539098</v>
      </c>
      <c r="AB54" s="23">
        <f t="shared" si="35"/>
        <v>2213.3319889718309</v>
      </c>
      <c r="AC54" s="23">
        <f t="shared" si="35"/>
        <v>2103.9392499386418</v>
      </c>
      <c r="AD54" s="23">
        <f t="shared" si="35"/>
        <v>2000.1087817829671</v>
      </c>
      <c r="AE54" s="23">
        <f t="shared" si="35"/>
        <v>2078.1931124666821</v>
      </c>
    </row>
    <row r="55" spans="1:31" x14ac:dyDescent="0.25">
      <c r="A55" s="18" t="s">
        <v>19</v>
      </c>
      <c r="B55" s="23">
        <f>SUM(B53:B54)</f>
        <v>-542</v>
      </c>
      <c r="C55" s="23">
        <f t="shared" ref="C55:AE55" si="36">SUM(C53:C54)</f>
        <v>8.4485981308411056</v>
      </c>
      <c r="D55" s="23">
        <f t="shared" si="36"/>
        <v>-3764.5209188575418</v>
      </c>
      <c r="E55" s="23">
        <f t="shared" si="36"/>
        <v>3621.4239010385754</v>
      </c>
      <c r="F55" s="23">
        <f t="shared" si="36"/>
        <v>6783.6642255265942</v>
      </c>
      <c r="G55" s="23">
        <f t="shared" si="36"/>
        <v>6880.3166320173996</v>
      </c>
      <c r="H55" s="23">
        <f t="shared" si="36"/>
        <v>6123.9515737632764</v>
      </c>
      <c r="I55" s="23">
        <f t="shared" si="36"/>
        <v>5812.3724409056422</v>
      </c>
      <c r="J55" s="23">
        <f t="shared" si="36"/>
        <v>5529.0864933678649</v>
      </c>
      <c r="K55" s="23">
        <f t="shared" si="36"/>
        <v>5627.3013456638291</v>
      </c>
      <c r="L55" s="23">
        <f t="shared" si="36"/>
        <v>4992.8034076303447</v>
      </c>
      <c r="M55" s="23">
        <f t="shared" si="36"/>
        <v>4738.8082706251726</v>
      </c>
      <c r="N55" s="23">
        <f t="shared" si="36"/>
        <v>4508.6750389141225</v>
      </c>
      <c r="O55" s="23">
        <f t="shared" si="36"/>
        <v>4605.514142832335</v>
      </c>
      <c r="P55" s="23">
        <f t="shared" si="36"/>
        <v>4072.0810306819112</v>
      </c>
      <c r="Q55" s="23">
        <f t="shared" si="36"/>
        <v>3865.2032739934125</v>
      </c>
      <c r="R55" s="23">
        <f t="shared" si="36"/>
        <v>3677.8447690363409</v>
      </c>
      <c r="S55" s="23">
        <f t="shared" si="36"/>
        <v>3770.5956231731802</v>
      </c>
      <c r="T55" s="23">
        <f t="shared" si="36"/>
        <v>3322.1967435919628</v>
      </c>
      <c r="U55" s="23">
        <f t="shared" si="36"/>
        <v>3153.5675000200035</v>
      </c>
      <c r="V55" s="23">
        <f t="shared" si="36"/>
        <v>3001.1749310791456</v>
      </c>
      <c r="W55" s="23">
        <f t="shared" si="36"/>
        <v>3088.4842109609385</v>
      </c>
      <c r="X55" s="23">
        <f t="shared" si="36"/>
        <v>2711.0859696025327</v>
      </c>
      <c r="Y55" s="23">
        <f t="shared" si="36"/>
        <v>2573.3632237363217</v>
      </c>
      <c r="Z55" s="23">
        <f t="shared" si="36"/>
        <v>2449.5073235398054</v>
      </c>
      <c r="AA55" s="23">
        <f t="shared" si="36"/>
        <v>2531.0846645023535</v>
      </c>
      <c r="AB55" s="23">
        <f t="shared" si="36"/>
        <v>2213.3319889718309</v>
      </c>
      <c r="AC55" s="23">
        <f t="shared" si="36"/>
        <v>2100.8843110962544</v>
      </c>
      <c r="AD55" s="23">
        <f t="shared" si="36"/>
        <v>2000.1087817829671</v>
      </c>
      <c r="AE55" s="23">
        <f t="shared" si="36"/>
        <v>2075.3647124553877</v>
      </c>
    </row>
    <row r="56" spans="1:31" x14ac:dyDescent="0.25">
      <c r="A56" s="18" t="s">
        <v>20</v>
      </c>
      <c r="B56" s="23">
        <f>B55</f>
        <v>-542</v>
      </c>
      <c r="C56" s="23">
        <f>B56+C55</f>
        <v>-533.55140186915889</v>
      </c>
      <c r="D56" s="23">
        <f t="shared" ref="D56:Z56" si="37">C56+D55</f>
        <v>-4298.072320726701</v>
      </c>
      <c r="E56" s="23">
        <f t="shared" si="37"/>
        <v>-676.64841968812561</v>
      </c>
      <c r="F56" s="23">
        <f t="shared" si="37"/>
        <v>6107.0158058384686</v>
      </c>
      <c r="G56" s="23">
        <f t="shared" si="37"/>
        <v>12987.332437855868</v>
      </c>
      <c r="H56" s="23">
        <f t="shared" si="37"/>
        <v>19111.284011619144</v>
      </c>
      <c r="I56" s="23">
        <f t="shared" si="37"/>
        <v>24923.656452524785</v>
      </c>
      <c r="J56" s="23">
        <f t="shared" si="37"/>
        <v>30452.742945892649</v>
      </c>
      <c r="K56" s="23">
        <f t="shared" si="37"/>
        <v>36080.044291556478</v>
      </c>
      <c r="L56" s="23">
        <f t="shared" si="37"/>
        <v>41072.847699186823</v>
      </c>
      <c r="M56" s="23">
        <f t="shared" si="37"/>
        <v>45811.655969811996</v>
      </c>
      <c r="N56" s="23">
        <f t="shared" si="37"/>
        <v>50320.33100872612</v>
      </c>
      <c r="O56" s="23">
        <f t="shared" si="37"/>
        <v>54925.845151558453</v>
      </c>
      <c r="P56" s="23">
        <f t="shared" si="37"/>
        <v>58997.926182240364</v>
      </c>
      <c r="Q56" s="23">
        <f t="shared" si="37"/>
        <v>62863.129456233779</v>
      </c>
      <c r="R56" s="23">
        <f t="shared" si="37"/>
        <v>66540.974225270125</v>
      </c>
      <c r="S56" s="23">
        <f t="shared" si="37"/>
        <v>70311.569848443309</v>
      </c>
      <c r="T56" s="23">
        <f t="shared" si="37"/>
        <v>73633.766592035274</v>
      </c>
      <c r="U56" s="23">
        <f t="shared" si="37"/>
        <v>76787.334092055273</v>
      </c>
      <c r="V56" s="23">
        <f t="shared" si="37"/>
        <v>79788.509023134422</v>
      </c>
      <c r="W56" s="23">
        <f t="shared" si="37"/>
        <v>82876.993234095367</v>
      </c>
      <c r="X56" s="23">
        <f t="shared" si="37"/>
        <v>85588.079203697896</v>
      </c>
      <c r="Y56" s="23">
        <f t="shared" si="37"/>
        <v>88161.442427434216</v>
      </c>
      <c r="Z56" s="23">
        <f t="shared" si="37"/>
        <v>90610.949750974018</v>
      </c>
      <c r="AA56" s="23">
        <f t="shared" ref="AA56" si="38">Z56+AA55</f>
        <v>93142.034415476373</v>
      </c>
      <c r="AB56" s="23">
        <f t="shared" ref="AB56" si="39">AA56+AB55</f>
        <v>95355.366404448199</v>
      </c>
      <c r="AC56" s="23">
        <f t="shared" ref="AC56" si="40">AB56+AC55</f>
        <v>97456.250715544447</v>
      </c>
      <c r="AD56" s="23">
        <f t="shared" ref="AD56" si="41">AC56+AD55</f>
        <v>99456.359497327416</v>
      </c>
      <c r="AE56" s="23">
        <f t="shared" ref="AE56" si="42">AD56+AE55</f>
        <v>101531.7242097828</v>
      </c>
    </row>
    <row r="57" spans="1:3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31" x14ac:dyDescent="0.25">
      <c r="A58" s="19" t="s">
        <v>21</v>
      </c>
      <c r="B58" s="20">
        <f>NPV(B48,C46:AE46) + B46</f>
        <v>101531.72420978275</v>
      </c>
      <c r="C58" s="1"/>
      <c r="D58" s="1"/>
      <c r="E58" s="1"/>
      <c r="F58" s="1"/>
      <c r="G58" s="1"/>
      <c r="H58" s="1"/>
      <c r="I58" s="1"/>
      <c r="J58" s="1"/>
      <c r="K58" s="1"/>
    </row>
    <row r="59" spans="1:31" x14ac:dyDescent="0.25">
      <c r="A59" s="19" t="s">
        <v>22</v>
      </c>
      <c r="B59" s="21">
        <f>IRR(B56:AE56,0.1)</f>
        <v>0.90301434691494564</v>
      </c>
      <c r="C59" s="1"/>
      <c r="D59" s="1"/>
      <c r="E59" s="1"/>
      <c r="F59" s="1"/>
      <c r="G59" s="1"/>
      <c r="H59" s="1"/>
      <c r="I59" s="1"/>
      <c r="J59" s="1"/>
      <c r="K59" s="1"/>
    </row>
    <row r="60" spans="1:31" x14ac:dyDescent="0.25">
      <c r="A60" s="144"/>
      <c r="B60" s="145"/>
      <c r="C60" s="1"/>
      <c r="D60" s="1"/>
      <c r="E60" s="1"/>
      <c r="F60" s="1"/>
      <c r="G60" s="1"/>
      <c r="H60" s="1"/>
      <c r="I60" s="1"/>
      <c r="J60" s="1"/>
      <c r="K60" s="1"/>
    </row>
    <row r="62" spans="1:31" x14ac:dyDescent="0.25">
      <c r="A62" s="141" t="s">
        <v>14</v>
      </c>
      <c r="B62" s="142">
        <v>0.03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31" x14ac:dyDescent="0.25">
      <c r="A63" s="141" t="s">
        <v>15</v>
      </c>
      <c r="B63" s="143">
        <v>2016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31" x14ac:dyDescent="0.25">
      <c r="A64" s="11" t="s">
        <v>16</v>
      </c>
      <c r="B64" s="12">
        <f>+B63-$B$49</f>
        <v>0</v>
      </c>
      <c r="C64" s="13">
        <f>+C43-$B$63</f>
        <v>1</v>
      </c>
      <c r="D64" s="13">
        <f t="shared" ref="D64:AE64" si="43">+D43-$B$63</f>
        <v>2</v>
      </c>
      <c r="E64" s="13">
        <f t="shared" si="43"/>
        <v>3</v>
      </c>
      <c r="F64" s="13">
        <f t="shared" si="43"/>
        <v>4</v>
      </c>
      <c r="G64" s="13">
        <f t="shared" si="43"/>
        <v>5</v>
      </c>
      <c r="H64" s="13">
        <f t="shared" si="43"/>
        <v>6</v>
      </c>
      <c r="I64" s="13">
        <f t="shared" si="43"/>
        <v>7</v>
      </c>
      <c r="J64" s="13">
        <f t="shared" si="43"/>
        <v>8</v>
      </c>
      <c r="K64" s="13">
        <f t="shared" si="43"/>
        <v>9</v>
      </c>
      <c r="L64" s="13">
        <f t="shared" si="43"/>
        <v>10</v>
      </c>
      <c r="M64" s="13">
        <f t="shared" si="43"/>
        <v>11</v>
      </c>
      <c r="N64" s="13">
        <f t="shared" si="43"/>
        <v>12</v>
      </c>
      <c r="O64" s="13">
        <f t="shared" si="43"/>
        <v>13</v>
      </c>
      <c r="P64" s="13">
        <f t="shared" si="43"/>
        <v>14</v>
      </c>
      <c r="Q64" s="13">
        <f t="shared" si="43"/>
        <v>15</v>
      </c>
      <c r="R64" s="13">
        <f t="shared" si="43"/>
        <v>16</v>
      </c>
      <c r="S64" s="13">
        <f t="shared" si="43"/>
        <v>17</v>
      </c>
      <c r="T64" s="13">
        <f t="shared" si="43"/>
        <v>18</v>
      </c>
      <c r="U64" s="13">
        <f t="shared" si="43"/>
        <v>19</v>
      </c>
      <c r="V64" s="13">
        <f t="shared" si="43"/>
        <v>20</v>
      </c>
      <c r="W64" s="13">
        <f t="shared" si="43"/>
        <v>21</v>
      </c>
      <c r="X64" s="13">
        <f t="shared" si="43"/>
        <v>22</v>
      </c>
      <c r="Y64" s="13">
        <f t="shared" si="43"/>
        <v>23</v>
      </c>
      <c r="Z64" s="13">
        <f t="shared" si="43"/>
        <v>24</v>
      </c>
      <c r="AA64" s="13">
        <f t="shared" si="43"/>
        <v>25</v>
      </c>
      <c r="AB64" s="13">
        <f t="shared" si="43"/>
        <v>26</v>
      </c>
      <c r="AC64" s="13">
        <f t="shared" si="43"/>
        <v>27</v>
      </c>
      <c r="AD64" s="13">
        <f t="shared" si="43"/>
        <v>28</v>
      </c>
      <c r="AE64" s="13">
        <f t="shared" si="43"/>
        <v>29</v>
      </c>
    </row>
    <row r="65" spans="1:31" x14ac:dyDescent="0.25">
      <c r="A65" s="1" t="s">
        <v>17</v>
      </c>
      <c r="B65" s="16">
        <f>1/((1+$B$62)^B64)</f>
        <v>1</v>
      </c>
      <c r="C65" s="16">
        <f>1/((1+$B$62)^C64)</f>
        <v>0.970873786407767</v>
      </c>
      <c r="D65" s="16">
        <f>1/((1+$B$62)^D64)</f>
        <v>0.94259590913375435</v>
      </c>
      <c r="E65" s="16">
        <f t="shared" ref="E65:AE65" si="44">1/((1+$B$62)^E64)</f>
        <v>0.91514165935315961</v>
      </c>
      <c r="F65" s="16">
        <f t="shared" si="44"/>
        <v>0.888487047915689</v>
      </c>
      <c r="G65" s="16">
        <f t="shared" si="44"/>
        <v>0.86260878438416411</v>
      </c>
      <c r="H65" s="16">
        <f t="shared" si="44"/>
        <v>0.83748425668365445</v>
      </c>
      <c r="I65" s="16">
        <f t="shared" si="44"/>
        <v>0.81309151134335378</v>
      </c>
      <c r="J65" s="16">
        <f t="shared" si="44"/>
        <v>0.78940923431393573</v>
      </c>
      <c r="K65" s="16">
        <f t="shared" si="44"/>
        <v>0.76641673234362695</v>
      </c>
      <c r="L65" s="16">
        <f t="shared" si="44"/>
        <v>0.74409391489672516</v>
      </c>
      <c r="M65" s="16">
        <f t="shared" si="44"/>
        <v>0.72242127659876232</v>
      </c>
      <c r="N65" s="16">
        <f t="shared" si="44"/>
        <v>0.70137988019297326</v>
      </c>
      <c r="O65" s="16">
        <f t="shared" si="44"/>
        <v>0.68095133999317792</v>
      </c>
      <c r="P65" s="16">
        <f t="shared" si="44"/>
        <v>0.66111780581861923</v>
      </c>
      <c r="Q65" s="16">
        <f t="shared" si="44"/>
        <v>0.64186194739671765</v>
      </c>
      <c r="R65" s="16">
        <f t="shared" si="44"/>
        <v>0.62316693922011435</v>
      </c>
      <c r="S65" s="16">
        <f t="shared" si="44"/>
        <v>0.60501644584477121</v>
      </c>
      <c r="T65" s="16">
        <f t="shared" si="44"/>
        <v>0.5873946076162827</v>
      </c>
      <c r="U65" s="16">
        <f t="shared" si="44"/>
        <v>0.57028602681192497</v>
      </c>
      <c r="V65" s="16">
        <f t="shared" si="44"/>
        <v>0.55367575418633497</v>
      </c>
      <c r="W65" s="16">
        <f t="shared" si="44"/>
        <v>0.5375492759090631</v>
      </c>
      <c r="X65" s="16">
        <f t="shared" si="44"/>
        <v>0.52189250088258554</v>
      </c>
      <c r="Y65" s="16">
        <f t="shared" si="44"/>
        <v>0.50669174842969467</v>
      </c>
      <c r="Z65" s="16">
        <f t="shared" si="44"/>
        <v>0.49193373633950943</v>
      </c>
      <c r="AA65" s="16">
        <f t="shared" si="44"/>
        <v>0.47760556926165965</v>
      </c>
      <c r="AB65" s="16">
        <f t="shared" si="44"/>
        <v>0.46369472743850448</v>
      </c>
      <c r="AC65" s="16">
        <f t="shared" si="44"/>
        <v>0.45018905576553836</v>
      </c>
      <c r="AD65" s="16">
        <f t="shared" si="44"/>
        <v>0.4370767531704256</v>
      </c>
      <c r="AE65" s="16">
        <f t="shared" si="44"/>
        <v>0.42434636230138412</v>
      </c>
    </row>
    <row r="66" spans="1:31" x14ac:dyDescent="0.25">
      <c r="A66" s="17" t="s">
        <v>18</v>
      </c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</row>
    <row r="67" spans="1:31" x14ac:dyDescent="0.25">
      <c r="A67" s="18" t="s">
        <v>10</v>
      </c>
      <c r="B67" s="23">
        <f t="shared" ref="B67:AE67" si="45">B44*B$65</f>
        <v>-542</v>
      </c>
      <c r="C67" s="23">
        <f t="shared" si="45"/>
        <v>-526.21359223300976</v>
      </c>
      <c r="D67" s="23">
        <f t="shared" si="45"/>
        <v>-4062.5883683664811</v>
      </c>
      <c r="E67" s="23">
        <f t="shared" si="45"/>
        <v>-3944.2605518121181</v>
      </c>
      <c r="F67" s="23">
        <f t="shared" si="45"/>
        <v>0</v>
      </c>
      <c r="G67" s="23">
        <f t="shared" si="45"/>
        <v>-8.626087843841642</v>
      </c>
      <c r="H67" s="23">
        <f t="shared" si="45"/>
        <v>0</v>
      </c>
      <c r="I67" s="23">
        <f t="shared" si="45"/>
        <v>-8.6187700202395519</v>
      </c>
      <c r="J67" s="23">
        <f t="shared" si="45"/>
        <v>0</v>
      </c>
      <c r="K67" s="23">
        <f t="shared" si="45"/>
        <v>-8.6114584046129945</v>
      </c>
      <c r="L67" s="23">
        <f t="shared" si="45"/>
        <v>0</v>
      </c>
      <c r="M67" s="23">
        <f t="shared" si="45"/>
        <v>-8.6041529916955177</v>
      </c>
      <c r="N67" s="23">
        <f t="shared" si="45"/>
        <v>0</v>
      </c>
      <c r="O67" s="23">
        <f t="shared" si="45"/>
        <v>-8.5968537762251387</v>
      </c>
      <c r="P67" s="23">
        <f t="shared" si="45"/>
        <v>0</v>
      </c>
      <c r="Q67" s="23">
        <f t="shared" si="45"/>
        <v>-8.589560752944335</v>
      </c>
      <c r="R67" s="23">
        <f t="shared" si="45"/>
        <v>0</v>
      </c>
      <c r="S67" s="23">
        <f t="shared" si="45"/>
        <v>-8.5822739166000552</v>
      </c>
      <c r="T67" s="23">
        <f t="shared" si="45"/>
        <v>0</v>
      </c>
      <c r="U67" s="23">
        <f t="shared" si="45"/>
        <v>-8.5749932619436873</v>
      </c>
      <c r="V67" s="23">
        <f t="shared" si="45"/>
        <v>0</v>
      </c>
      <c r="W67" s="23">
        <f t="shared" si="45"/>
        <v>-8.5677187837310882</v>
      </c>
      <c r="X67" s="23">
        <f t="shared" si="45"/>
        <v>0</v>
      </c>
      <c r="Y67" s="23">
        <f t="shared" si="45"/>
        <v>-8.5604504767225507</v>
      </c>
      <c r="Z67" s="23">
        <f t="shared" si="45"/>
        <v>0</v>
      </c>
      <c r="AA67" s="23">
        <f t="shared" si="45"/>
        <v>-8.5531883356828207</v>
      </c>
      <c r="AB67" s="23">
        <f t="shared" si="45"/>
        <v>0</v>
      </c>
      <c r="AC67" s="23">
        <f t="shared" si="45"/>
        <v>-8.5459323553810815</v>
      </c>
      <c r="AD67" s="23">
        <f t="shared" si="45"/>
        <v>0</v>
      </c>
      <c r="AE67" s="23">
        <f t="shared" si="45"/>
        <v>-8.5386825305909593</v>
      </c>
    </row>
    <row r="68" spans="1:31" x14ac:dyDescent="0.25">
      <c r="A68" s="18" t="s">
        <v>11</v>
      </c>
      <c r="B68" s="23">
        <f t="shared" ref="B68:AE68" si="46">B45*B$65</f>
        <v>0</v>
      </c>
      <c r="C68" s="23">
        <f t="shared" si="46"/>
        <v>534.99029126213588</v>
      </c>
      <c r="D68" s="23">
        <f t="shared" si="46"/>
        <v>0</v>
      </c>
      <c r="E68" s="23">
        <f t="shared" si="46"/>
        <v>8004.1950093664746</v>
      </c>
      <c r="F68" s="23">
        <f t="shared" si="46"/>
        <v>7900.4268300663061</v>
      </c>
      <c r="G68" s="23">
        <f t="shared" si="46"/>
        <v>8332.8008571510254</v>
      </c>
      <c r="H68" s="23">
        <f t="shared" si="46"/>
        <v>7696.8153126254574</v>
      </c>
      <c r="I68" s="23">
        <f t="shared" si="46"/>
        <v>7597.527081992298</v>
      </c>
      <c r="J68" s="23">
        <f t="shared" si="46"/>
        <v>7499.3877259823894</v>
      </c>
      <c r="K68" s="23">
        <f t="shared" si="46"/>
        <v>7937.6248135364767</v>
      </c>
      <c r="L68" s="23">
        <f t="shared" si="46"/>
        <v>7308.1927945496764</v>
      </c>
      <c r="M68" s="23">
        <f t="shared" si="46"/>
        <v>7214.3878366258814</v>
      </c>
      <c r="N68" s="23">
        <f t="shared" si="46"/>
        <v>7122.0918554315285</v>
      </c>
      <c r="O68" s="23">
        <f t="shared" si="46"/>
        <v>7566.1865289321986</v>
      </c>
      <c r="P68" s="23">
        <f t="shared" si="46"/>
        <v>6941.736961095502</v>
      </c>
      <c r="Q68" s="23">
        <f t="shared" si="46"/>
        <v>6853.5451295231924</v>
      </c>
      <c r="R68" s="23">
        <f t="shared" si="46"/>
        <v>6766.0973592763139</v>
      </c>
      <c r="S68" s="23">
        <f t="shared" si="46"/>
        <v>7214.7001134097281</v>
      </c>
      <c r="T68" s="23">
        <f t="shared" si="46"/>
        <v>6595.7365700017162</v>
      </c>
      <c r="U68" s="23">
        <f t="shared" si="46"/>
        <v>6512.6664261921833</v>
      </c>
      <c r="V68" s="23">
        <f t="shared" si="46"/>
        <v>6430.16873881842</v>
      </c>
      <c r="W68" s="23">
        <f t="shared" si="46"/>
        <v>6882.780928739644</v>
      </c>
      <c r="X68" s="23">
        <f t="shared" si="46"/>
        <v>6268.5552066009122</v>
      </c>
      <c r="Y68" s="23">
        <f t="shared" si="46"/>
        <v>6189.7463988171503</v>
      </c>
      <c r="Z68" s="23">
        <f t="shared" si="46"/>
        <v>6112.1782872711374</v>
      </c>
      <c r="AA68" s="23">
        <f t="shared" si="46"/>
        <v>6569.5601263079807</v>
      </c>
      <c r="AB68" s="23">
        <f t="shared" si="46"/>
        <v>5960.1465486035613</v>
      </c>
      <c r="AC68" s="23">
        <f t="shared" si="46"/>
        <v>5885.5916394563428</v>
      </c>
      <c r="AD68" s="23">
        <f t="shared" si="46"/>
        <v>5812.4214943615889</v>
      </c>
      <c r="AE68" s="23">
        <f t="shared" si="46"/>
        <v>6273.8760973535045</v>
      </c>
    </row>
    <row r="69" spans="1:31" x14ac:dyDescent="0.25">
      <c r="A69" s="18" t="s">
        <v>19</v>
      </c>
      <c r="B69" s="23">
        <f>SUM(B67:B68)</f>
        <v>-542</v>
      </c>
      <c r="C69" s="23">
        <f t="shared" ref="C69:AE69" si="47">SUM(C67:C68)</f>
        <v>8.7766990291261209</v>
      </c>
      <c r="D69" s="23">
        <f t="shared" si="47"/>
        <v>-4062.5883683664811</v>
      </c>
      <c r="E69" s="23">
        <f t="shared" si="47"/>
        <v>4059.9344575543564</v>
      </c>
      <c r="F69" s="23">
        <f t="shared" si="47"/>
        <v>7900.4268300663061</v>
      </c>
      <c r="G69" s="23">
        <f t="shared" si="47"/>
        <v>8324.1747693071829</v>
      </c>
      <c r="H69" s="23">
        <f t="shared" si="47"/>
        <v>7696.8153126254574</v>
      </c>
      <c r="I69" s="23">
        <f t="shared" si="47"/>
        <v>7588.9083119720581</v>
      </c>
      <c r="J69" s="23">
        <f t="shared" si="47"/>
        <v>7499.3877259823894</v>
      </c>
      <c r="K69" s="23">
        <f t="shared" si="47"/>
        <v>7929.013355131864</v>
      </c>
      <c r="L69" s="23">
        <f t="shared" si="47"/>
        <v>7308.1927945496764</v>
      </c>
      <c r="M69" s="23">
        <f t="shared" si="47"/>
        <v>7205.7836836341858</v>
      </c>
      <c r="N69" s="23">
        <f t="shared" si="47"/>
        <v>7122.0918554315285</v>
      </c>
      <c r="O69" s="23">
        <f t="shared" si="47"/>
        <v>7557.5896751559731</v>
      </c>
      <c r="P69" s="23">
        <f t="shared" si="47"/>
        <v>6941.736961095502</v>
      </c>
      <c r="Q69" s="23">
        <f t="shared" si="47"/>
        <v>6844.9555687702477</v>
      </c>
      <c r="R69" s="23">
        <f t="shared" si="47"/>
        <v>6766.0973592763139</v>
      </c>
      <c r="S69" s="23">
        <f t="shared" si="47"/>
        <v>7206.1178394931285</v>
      </c>
      <c r="T69" s="23">
        <f t="shared" si="47"/>
        <v>6595.7365700017162</v>
      </c>
      <c r="U69" s="23">
        <f t="shared" si="47"/>
        <v>6504.0914329302395</v>
      </c>
      <c r="V69" s="23">
        <f t="shared" si="47"/>
        <v>6430.16873881842</v>
      </c>
      <c r="W69" s="23">
        <f t="shared" si="47"/>
        <v>6874.213209955913</v>
      </c>
      <c r="X69" s="23">
        <f t="shared" si="47"/>
        <v>6268.5552066009122</v>
      </c>
      <c r="Y69" s="23">
        <f t="shared" si="47"/>
        <v>6181.1859483404278</v>
      </c>
      <c r="Z69" s="23">
        <f t="shared" si="47"/>
        <v>6112.1782872711374</v>
      </c>
      <c r="AA69" s="23">
        <f t="shared" si="47"/>
        <v>6561.0069379722981</v>
      </c>
      <c r="AB69" s="23">
        <f t="shared" si="47"/>
        <v>5960.1465486035613</v>
      </c>
      <c r="AC69" s="23">
        <f t="shared" si="47"/>
        <v>5877.0457071009614</v>
      </c>
      <c r="AD69" s="23">
        <f t="shared" si="47"/>
        <v>5812.4214943615889</v>
      </c>
      <c r="AE69" s="23">
        <f t="shared" si="47"/>
        <v>6265.3374148229132</v>
      </c>
    </row>
    <row r="70" spans="1:31" x14ac:dyDescent="0.25">
      <c r="A70" s="18" t="s">
        <v>20</v>
      </c>
      <c r="B70" s="23">
        <f>B69</f>
        <v>-542</v>
      </c>
      <c r="C70" s="23">
        <f>B70+C69</f>
        <v>-533.22330097087388</v>
      </c>
      <c r="D70" s="23">
        <f t="shared" ref="D70" si="48">C70+D69</f>
        <v>-4595.8116693373549</v>
      </c>
      <c r="E70" s="23">
        <f t="shared" ref="E70" si="49">D70+E69</f>
        <v>-535.87721178299853</v>
      </c>
      <c r="F70" s="23">
        <f t="shared" ref="F70" si="50">E70+F69</f>
        <v>7364.5496182833076</v>
      </c>
      <c r="G70" s="23">
        <f t="shared" ref="G70" si="51">F70+G69</f>
        <v>15688.72438759049</v>
      </c>
      <c r="H70" s="23">
        <f t="shared" ref="H70" si="52">G70+H69</f>
        <v>23385.539700215948</v>
      </c>
      <c r="I70" s="23">
        <f t="shared" ref="I70" si="53">H70+I69</f>
        <v>30974.448012188004</v>
      </c>
      <c r="J70" s="23">
        <f t="shared" ref="J70" si="54">I70+J69</f>
        <v>38473.835738170397</v>
      </c>
      <c r="K70" s="23">
        <f t="shared" ref="K70" si="55">J70+K69</f>
        <v>46402.849093302262</v>
      </c>
      <c r="L70" s="23">
        <f t="shared" ref="L70" si="56">K70+L69</f>
        <v>53711.041887851941</v>
      </c>
      <c r="M70" s="23">
        <f t="shared" ref="M70" si="57">L70+M69</f>
        <v>60916.82557148613</v>
      </c>
      <c r="N70" s="23">
        <f t="shared" ref="N70" si="58">M70+N69</f>
        <v>68038.917426917658</v>
      </c>
      <c r="O70" s="23">
        <f t="shared" ref="O70" si="59">N70+O69</f>
        <v>75596.507102073636</v>
      </c>
      <c r="P70" s="23">
        <f t="shared" ref="P70" si="60">O70+P69</f>
        <v>82538.244063169142</v>
      </c>
      <c r="Q70" s="23">
        <f t="shared" ref="Q70" si="61">P70+Q69</f>
        <v>89383.199631939395</v>
      </c>
      <c r="R70" s="23">
        <f t="shared" ref="R70" si="62">Q70+R69</f>
        <v>96149.296991215713</v>
      </c>
      <c r="S70" s="23">
        <f t="shared" ref="S70" si="63">R70+S69</f>
        <v>103355.41483070885</v>
      </c>
      <c r="T70" s="23">
        <f t="shared" ref="T70" si="64">S70+T69</f>
        <v>109951.15140071056</v>
      </c>
      <c r="U70" s="23">
        <f t="shared" ref="U70" si="65">T70+U69</f>
        <v>116455.2428336408</v>
      </c>
      <c r="V70" s="23">
        <f t="shared" ref="V70" si="66">U70+V69</f>
        <v>122885.41157245923</v>
      </c>
      <c r="W70" s="23">
        <f t="shared" ref="W70" si="67">V70+W69</f>
        <v>129759.62478241514</v>
      </c>
      <c r="X70" s="23">
        <f t="shared" ref="X70" si="68">W70+X69</f>
        <v>136028.17998901606</v>
      </c>
      <c r="Y70" s="23">
        <f t="shared" ref="Y70" si="69">X70+Y69</f>
        <v>142209.36593735649</v>
      </c>
      <c r="Z70" s="23">
        <f t="shared" ref="Z70" si="70">Y70+Z69</f>
        <v>148321.54422462764</v>
      </c>
      <c r="AA70" s="23">
        <f t="shared" ref="AA70" si="71">Z70+AA69</f>
        <v>154882.55116259994</v>
      </c>
      <c r="AB70" s="23">
        <f t="shared" ref="AB70" si="72">AA70+AB69</f>
        <v>160842.69771120351</v>
      </c>
      <c r="AC70" s="23">
        <f t="shared" ref="AC70" si="73">AB70+AC69</f>
        <v>166719.74341830448</v>
      </c>
      <c r="AD70" s="23">
        <f t="shared" ref="AD70" si="74">AC70+AD69</f>
        <v>172532.16491266608</v>
      </c>
      <c r="AE70" s="23">
        <f t="shared" ref="AE70" si="75">AD70+AE69</f>
        <v>178797.502327489</v>
      </c>
    </row>
    <row r="71" spans="1:3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31" x14ac:dyDescent="0.25">
      <c r="A72" s="19" t="s">
        <v>21</v>
      </c>
      <c r="B72" s="20">
        <f>NPV(B62,C46:AE46) + B46</f>
        <v>178797.50232748874</v>
      </c>
      <c r="C72" s="1"/>
      <c r="D72" s="1"/>
      <c r="E72" s="1"/>
      <c r="F72" s="1"/>
      <c r="G72" s="1"/>
      <c r="H72" s="1"/>
      <c r="I72" s="1"/>
      <c r="J72" s="1"/>
      <c r="K72" s="1"/>
    </row>
    <row r="73" spans="1:31" x14ac:dyDescent="0.25">
      <c r="A73" s="19" t="s">
        <v>22</v>
      </c>
      <c r="B73" s="21">
        <f>IRR(B70:Z70,0.1)</f>
        <v>0.97691533559436361</v>
      </c>
      <c r="C73" s="1"/>
      <c r="D73" s="1"/>
      <c r="E73" s="1"/>
      <c r="F73" s="1"/>
      <c r="G73" s="1"/>
      <c r="H73" s="1"/>
      <c r="I73" s="1"/>
      <c r="J73" s="1"/>
      <c r="K73" s="1"/>
    </row>
  </sheetData>
  <mergeCells count="6">
    <mergeCell ref="B42:AE42"/>
    <mergeCell ref="A36:B36"/>
    <mergeCell ref="A1:AE1"/>
    <mergeCell ref="A2:AE2"/>
    <mergeCell ref="B5:AE5"/>
    <mergeCell ref="B21:AE21"/>
  </mergeCells>
  <pageMargins left="0.7" right="0.7" top="0.75" bottom="0.75" header="0.3" footer="0.3"/>
  <pageSetup paperSize="17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5"/>
  <sheetViews>
    <sheetView workbookViewId="0">
      <selection activeCell="B4" sqref="B4"/>
    </sheetView>
  </sheetViews>
  <sheetFormatPr defaultRowHeight="15" x14ac:dyDescent="0.25"/>
  <cols>
    <col min="2" max="31" width="11.7109375" customWidth="1"/>
    <col min="32" max="34" width="12.28515625" customWidth="1"/>
    <col min="35" max="36" width="11.140625" bestFit="1" customWidth="1"/>
  </cols>
  <sheetData>
    <row r="1" spans="2:8" ht="21" x14ac:dyDescent="0.35">
      <c r="B1" s="160" t="s">
        <v>86</v>
      </c>
      <c r="C1" s="160"/>
      <c r="D1" s="160"/>
      <c r="E1" s="160"/>
      <c r="F1" s="160"/>
      <c r="G1" s="160"/>
      <c r="H1" s="160"/>
    </row>
    <row r="2" spans="2:8" ht="21" x14ac:dyDescent="0.35">
      <c r="B2" s="160" t="s">
        <v>87</v>
      </c>
      <c r="C2" s="160"/>
      <c r="D2" s="160"/>
      <c r="E2" s="160"/>
      <c r="F2" s="160"/>
      <c r="G2" s="160"/>
      <c r="H2" s="160"/>
    </row>
    <row r="3" spans="2:8" ht="21" x14ac:dyDescent="0.35">
      <c r="B3" s="160" t="s">
        <v>104</v>
      </c>
      <c r="C3" s="160"/>
      <c r="D3" s="160"/>
      <c r="E3" s="160"/>
      <c r="F3" s="160"/>
      <c r="G3" s="160"/>
      <c r="H3" s="160"/>
    </row>
    <row r="5" spans="2:8" x14ac:dyDescent="0.25">
      <c r="B5" s="36" t="s">
        <v>33</v>
      </c>
    </row>
    <row r="6" spans="2:8" ht="15.75" thickBot="1" x14ac:dyDescent="0.3"/>
    <row r="7" spans="2:8" ht="30.75" thickBot="1" x14ac:dyDescent="0.3">
      <c r="B7" s="85" t="s">
        <v>34</v>
      </c>
      <c r="C7" s="86" t="s">
        <v>35</v>
      </c>
      <c r="D7" s="86" t="s">
        <v>36</v>
      </c>
      <c r="E7" s="86" t="s">
        <v>37</v>
      </c>
      <c r="F7" s="86" t="s">
        <v>38</v>
      </c>
      <c r="G7" s="87" t="s">
        <v>91</v>
      </c>
      <c r="H7" s="88" t="s">
        <v>90</v>
      </c>
    </row>
    <row r="8" spans="2:8" x14ac:dyDescent="0.25">
      <c r="B8" s="79" t="s">
        <v>39</v>
      </c>
      <c r="C8" s="80" t="s">
        <v>40</v>
      </c>
      <c r="D8" s="81">
        <v>3.0000000000000001E-3</v>
      </c>
      <c r="E8" s="82">
        <v>27600</v>
      </c>
      <c r="F8" s="82">
        <f>E8*(1+'[1]Assumed Values'!$C$8)^(2015-2013)</f>
        <v>28761.908178929672</v>
      </c>
      <c r="G8" s="83">
        <f t="shared" ref="G8:G13" si="0">(F8-E8)/E8</f>
        <v>4.209812242498813E-2</v>
      </c>
      <c r="H8" s="84">
        <f>+G8/2</f>
        <v>2.1049061212494065E-2</v>
      </c>
    </row>
    <row r="9" spans="2:8" x14ac:dyDescent="0.25">
      <c r="B9" s="71" t="s">
        <v>41</v>
      </c>
      <c r="C9" s="37" t="s">
        <v>42</v>
      </c>
      <c r="D9" s="38">
        <v>4.7E-2</v>
      </c>
      <c r="E9" s="39">
        <v>432400</v>
      </c>
      <c r="F9" s="39">
        <f>E9*(1+'[1]Assumed Values'!$C$8)^(2015-2013)</f>
        <v>450603.22813656484</v>
      </c>
      <c r="G9" s="70">
        <f t="shared" si="0"/>
        <v>4.209812242498806E-2</v>
      </c>
      <c r="H9" s="72">
        <f t="shared" ref="H9:H13" si="1">+G9/2</f>
        <v>2.104906121249403E-2</v>
      </c>
    </row>
    <row r="10" spans="2:8" x14ac:dyDescent="0.25">
      <c r="B10" s="71" t="s">
        <v>43</v>
      </c>
      <c r="C10" s="37" t="s">
        <v>44</v>
      </c>
      <c r="D10" s="38">
        <v>0.105</v>
      </c>
      <c r="E10" s="39">
        <v>966000</v>
      </c>
      <c r="F10" s="39">
        <f>E10*(1+'[1]Assumed Values'!$C$8)^(2015-2013)</f>
        <v>1006666.7862625385</v>
      </c>
      <c r="G10" s="70">
        <f t="shared" si="0"/>
        <v>4.2098122424988116E-2</v>
      </c>
      <c r="H10" s="72">
        <f t="shared" si="1"/>
        <v>2.1049061212494058E-2</v>
      </c>
    </row>
    <row r="11" spans="2:8" x14ac:dyDescent="0.25">
      <c r="B11" s="71" t="s">
        <v>45</v>
      </c>
      <c r="C11" s="37" t="s">
        <v>46</v>
      </c>
      <c r="D11" s="38">
        <v>0.26600000000000001</v>
      </c>
      <c r="E11" s="39">
        <v>2447200</v>
      </c>
      <c r="F11" s="39">
        <f>E11*(1+'[1]Assumed Values'!$C$8)^(2015-2013)</f>
        <v>2550222.5251984308</v>
      </c>
      <c r="G11" s="70">
        <f t="shared" si="0"/>
        <v>4.2098122424988046E-2</v>
      </c>
      <c r="H11" s="72">
        <f t="shared" si="1"/>
        <v>2.1049061212494023E-2</v>
      </c>
    </row>
    <row r="12" spans="2:8" x14ac:dyDescent="0.25">
      <c r="B12" s="71" t="s">
        <v>47</v>
      </c>
      <c r="C12" s="37" t="s">
        <v>48</v>
      </c>
      <c r="D12" s="38">
        <v>0.59299999999999997</v>
      </c>
      <c r="E12" s="39">
        <v>5455600</v>
      </c>
      <c r="F12" s="39">
        <f>E12*(1+'[1]Assumed Values'!$C$8)^(2015-2013)</f>
        <v>5685270.5167017654</v>
      </c>
      <c r="G12" s="70">
        <f t="shared" si="0"/>
        <v>4.2098122424988151E-2</v>
      </c>
      <c r="H12" s="72">
        <f t="shared" si="1"/>
        <v>2.1049061212494075E-2</v>
      </c>
    </row>
    <row r="13" spans="2:8" ht="15.75" thickBot="1" x14ac:dyDescent="0.3">
      <c r="B13" s="73" t="s">
        <v>49</v>
      </c>
      <c r="C13" s="74" t="s">
        <v>50</v>
      </c>
      <c r="D13" s="75">
        <v>1</v>
      </c>
      <c r="E13" s="76">
        <v>9200000</v>
      </c>
      <c r="F13" s="76">
        <f>E13*(1+'[1]Assumed Values'!$C$8)^(2015-2013)</f>
        <v>9587302.7263098899</v>
      </c>
      <c r="G13" s="77">
        <f t="shared" si="0"/>
        <v>4.2098122424988033E-2</v>
      </c>
      <c r="H13" s="78">
        <f t="shared" si="1"/>
        <v>2.1049061212494016E-2</v>
      </c>
    </row>
    <row r="15" spans="2:8" x14ac:dyDescent="0.25">
      <c r="B15" s="36" t="s">
        <v>89</v>
      </c>
    </row>
    <row r="16" spans="2:8" ht="15.75" thickBot="1" x14ac:dyDescent="0.3">
      <c r="B16" s="36"/>
    </row>
    <row r="17" spans="2:34" ht="30.75" thickBot="1" x14ac:dyDescent="0.3">
      <c r="B17" s="85" t="s">
        <v>35</v>
      </c>
      <c r="C17" s="86" t="s">
        <v>81</v>
      </c>
      <c r="D17" s="86" t="s">
        <v>71</v>
      </c>
      <c r="E17" s="92" t="s">
        <v>72</v>
      </c>
    </row>
    <row r="18" spans="2:34" x14ac:dyDescent="0.25">
      <c r="B18" s="79" t="s">
        <v>40</v>
      </c>
      <c r="C18" s="90" t="s">
        <v>67</v>
      </c>
      <c r="D18" s="90">
        <v>12</v>
      </c>
      <c r="E18" s="91">
        <f>D18*F8</f>
        <v>345142.89814715605</v>
      </c>
    </row>
    <row r="19" spans="2:34" x14ac:dyDescent="0.25">
      <c r="B19" s="71" t="s">
        <v>42</v>
      </c>
      <c r="C19" s="46" t="s">
        <v>70</v>
      </c>
      <c r="D19" s="46">
        <v>4</v>
      </c>
      <c r="E19" s="89">
        <f>D19*F9</f>
        <v>1802412.9125462594</v>
      </c>
    </row>
    <row r="20" spans="2:34" x14ac:dyDescent="0.25">
      <c r="B20" s="71" t="s">
        <v>44</v>
      </c>
      <c r="C20" s="46" t="s">
        <v>68</v>
      </c>
      <c r="D20" s="46">
        <v>2</v>
      </c>
      <c r="E20" s="89">
        <f>D20*F10</f>
        <v>2013333.572525077</v>
      </c>
    </row>
    <row r="21" spans="2:34" ht="15.75" thickBot="1" x14ac:dyDescent="0.3">
      <c r="B21" s="93" t="s">
        <v>46</v>
      </c>
      <c r="C21" s="94" t="s">
        <v>69</v>
      </c>
      <c r="D21" s="94">
        <v>1</v>
      </c>
      <c r="E21" s="95">
        <f>D21*F11</f>
        <v>2550222.5251984308</v>
      </c>
    </row>
    <row r="22" spans="2:34" ht="15.75" thickBot="1" x14ac:dyDescent="0.3">
      <c r="B22" s="157" t="s">
        <v>73</v>
      </c>
      <c r="C22" s="158"/>
      <c r="D22" s="159"/>
      <c r="E22" s="96">
        <f>SUM(E18:E21)</f>
        <v>6711111.9084169231</v>
      </c>
    </row>
    <row r="23" spans="2:34" ht="15.75" thickBot="1" x14ac:dyDescent="0.3">
      <c r="B23" s="51"/>
      <c r="C23" s="51"/>
      <c r="D23" s="51"/>
      <c r="E23" s="52"/>
    </row>
    <row r="24" spans="2:34" ht="15.75" thickBot="1" x14ac:dyDescent="0.3">
      <c r="B24" s="59" t="s">
        <v>88</v>
      </c>
      <c r="C24" s="60" t="str">
        <f>+B18</f>
        <v>Minor</v>
      </c>
      <c r="D24" s="60" t="str">
        <f>+B19</f>
        <v>Moderate</v>
      </c>
      <c r="E24" s="60" t="str">
        <f>+B20</f>
        <v>Serious</v>
      </c>
      <c r="F24" s="61" t="str">
        <f>+B21</f>
        <v>Severe</v>
      </c>
      <c r="G24" s="65" t="str">
        <f>+B22</f>
        <v>Total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spans="2:34" x14ac:dyDescent="0.25">
      <c r="B25" s="57">
        <v>2015</v>
      </c>
      <c r="C25" s="58">
        <f>+E18</f>
        <v>345142.89814715605</v>
      </c>
      <c r="D25" s="58">
        <f>+E19</f>
        <v>1802412.9125462594</v>
      </c>
      <c r="E25" s="58">
        <f>+E20</f>
        <v>2013333.572525077</v>
      </c>
      <c r="F25" s="62">
        <f>+E21</f>
        <v>2550222.5251984308</v>
      </c>
      <c r="G25" s="66">
        <f>SUM(C25:F25)</f>
        <v>6711111.9084169231</v>
      </c>
    </row>
    <row r="26" spans="2:34" x14ac:dyDescent="0.25">
      <c r="B26" s="53">
        <v>2016</v>
      </c>
      <c r="C26" s="54">
        <f>E18*1.02</f>
        <v>352045.7561100992</v>
      </c>
      <c r="D26" s="54">
        <f>E19*1.02</f>
        <v>1838461.1707971846</v>
      </c>
      <c r="E26" s="54">
        <f>E20*1.02</f>
        <v>2053600.2439755786</v>
      </c>
      <c r="F26" s="63">
        <f>E21*1.02</f>
        <v>2601226.9757023994</v>
      </c>
      <c r="G26" s="67">
        <f>SUM(C26:F26)</f>
        <v>6845334.1465852614</v>
      </c>
    </row>
    <row r="27" spans="2:34" x14ac:dyDescent="0.25">
      <c r="B27" s="53">
        <f>B26+1</f>
        <v>2017</v>
      </c>
      <c r="C27" s="54">
        <f>C26*1.02</f>
        <v>359086.67123230122</v>
      </c>
      <c r="D27" s="54">
        <f>D26*1.02</f>
        <v>1875230.3942131284</v>
      </c>
      <c r="E27" s="54">
        <f>E26*1.02</f>
        <v>2094672.2488550902</v>
      </c>
      <c r="F27" s="63">
        <f>F26*1.02</f>
        <v>2653251.5152164474</v>
      </c>
      <c r="G27" s="67">
        <f t="shared" ref="G27:G55" si="2">SUM(C27:F27)</f>
        <v>6982240.8295169678</v>
      </c>
    </row>
    <row r="28" spans="2:34" x14ac:dyDescent="0.25">
      <c r="B28" s="53">
        <f t="shared" ref="B28:B55" si="3">B27+1</f>
        <v>2018</v>
      </c>
      <c r="C28" s="54">
        <f t="shared" ref="C28:C55" si="4">C27*1.02</f>
        <v>366268.40465694724</v>
      </c>
      <c r="D28" s="54">
        <f t="shared" ref="D28:D55" si="5">D27*1.02</f>
        <v>1912735.0020973911</v>
      </c>
      <c r="E28" s="54">
        <f t="shared" ref="E28:E55" si="6">E27*1.02</f>
        <v>2136565.6938321921</v>
      </c>
      <c r="F28" s="63">
        <f t="shared" ref="F28:F55" si="7">F27*1.02</f>
        <v>2706316.5455207764</v>
      </c>
      <c r="G28" s="67">
        <f t="shared" si="2"/>
        <v>7121885.6461073067</v>
      </c>
    </row>
    <row r="29" spans="2:34" x14ac:dyDescent="0.25">
      <c r="B29" s="53">
        <f t="shared" si="3"/>
        <v>2019</v>
      </c>
      <c r="C29" s="54">
        <f t="shared" si="4"/>
        <v>373593.77275008621</v>
      </c>
      <c r="D29" s="54">
        <f t="shared" si="5"/>
        <v>1950989.7021393389</v>
      </c>
      <c r="E29" s="54">
        <f t="shared" si="6"/>
        <v>2179297.0077088359</v>
      </c>
      <c r="F29" s="63">
        <f t="shared" si="7"/>
        <v>2760442.8764311918</v>
      </c>
      <c r="G29" s="67">
        <f t="shared" si="2"/>
        <v>7264323.3590294532</v>
      </c>
    </row>
    <row r="30" spans="2:34" x14ac:dyDescent="0.25">
      <c r="B30" s="53">
        <f t="shared" si="3"/>
        <v>2020</v>
      </c>
      <c r="C30" s="54">
        <f t="shared" si="4"/>
        <v>381065.64820508793</v>
      </c>
      <c r="D30" s="54">
        <f t="shared" si="5"/>
        <v>1990009.4961821258</v>
      </c>
      <c r="E30" s="54">
        <f t="shared" si="6"/>
        <v>2222882.9478630126</v>
      </c>
      <c r="F30" s="63">
        <f t="shared" si="7"/>
        <v>2815651.7339598155</v>
      </c>
      <c r="G30" s="67">
        <f t="shared" si="2"/>
        <v>7409609.8262100415</v>
      </c>
    </row>
    <row r="31" spans="2:34" x14ac:dyDescent="0.25">
      <c r="B31" s="53">
        <f t="shared" si="3"/>
        <v>2021</v>
      </c>
      <c r="C31" s="54">
        <f t="shared" si="4"/>
        <v>388686.96116918972</v>
      </c>
      <c r="D31" s="54">
        <f t="shared" si="5"/>
        <v>2029809.6861057682</v>
      </c>
      <c r="E31" s="54">
        <f t="shared" si="6"/>
        <v>2267340.6068202727</v>
      </c>
      <c r="F31" s="63">
        <f t="shared" si="7"/>
        <v>2871964.7686390118</v>
      </c>
      <c r="G31" s="67">
        <f t="shared" si="2"/>
        <v>7557802.0227342416</v>
      </c>
    </row>
    <row r="32" spans="2:34" x14ac:dyDescent="0.25">
      <c r="B32" s="53">
        <f t="shared" si="3"/>
        <v>2022</v>
      </c>
      <c r="C32" s="54">
        <f t="shared" si="4"/>
        <v>396460.70039257349</v>
      </c>
      <c r="D32" s="54">
        <f t="shared" si="5"/>
        <v>2070405.8798278836</v>
      </c>
      <c r="E32" s="54">
        <f t="shared" si="6"/>
        <v>2312687.4189566784</v>
      </c>
      <c r="F32" s="63">
        <f t="shared" si="7"/>
        <v>2929404.0640117922</v>
      </c>
      <c r="G32" s="67">
        <f t="shared" si="2"/>
        <v>7708958.0631889272</v>
      </c>
    </row>
    <row r="33" spans="2:7" x14ac:dyDescent="0.25">
      <c r="B33" s="53">
        <f t="shared" si="3"/>
        <v>2023</v>
      </c>
      <c r="C33" s="54">
        <f t="shared" si="4"/>
        <v>404389.91440042498</v>
      </c>
      <c r="D33" s="54">
        <f t="shared" si="5"/>
        <v>2111813.9974244414</v>
      </c>
      <c r="E33" s="54">
        <f t="shared" si="6"/>
        <v>2358941.167335812</v>
      </c>
      <c r="F33" s="63">
        <f t="shared" si="7"/>
        <v>2987992.1452920279</v>
      </c>
      <c r="G33" s="67">
        <f t="shared" si="2"/>
        <v>7863137.2244527061</v>
      </c>
    </row>
    <row r="34" spans="2:7" x14ac:dyDescent="0.25">
      <c r="B34" s="53">
        <f t="shared" si="3"/>
        <v>2024</v>
      </c>
      <c r="C34" s="54">
        <f t="shared" si="4"/>
        <v>412477.71268843347</v>
      </c>
      <c r="D34" s="54">
        <f t="shared" si="5"/>
        <v>2154050.2773729302</v>
      </c>
      <c r="E34" s="54">
        <f t="shared" si="6"/>
        <v>2406119.9906825284</v>
      </c>
      <c r="F34" s="63">
        <f t="shared" si="7"/>
        <v>3047751.9881978687</v>
      </c>
      <c r="G34" s="67">
        <f t="shared" si="2"/>
        <v>8020399.9689417612</v>
      </c>
    </row>
    <row r="35" spans="2:7" x14ac:dyDescent="0.25">
      <c r="B35" s="53">
        <f t="shared" si="3"/>
        <v>2025</v>
      </c>
      <c r="C35" s="54">
        <f t="shared" si="4"/>
        <v>420727.26694220217</v>
      </c>
      <c r="D35" s="54">
        <f t="shared" si="5"/>
        <v>2197131.282920389</v>
      </c>
      <c r="E35" s="54">
        <f t="shared" si="6"/>
        <v>2454242.390496179</v>
      </c>
      <c r="F35" s="63">
        <f t="shared" si="7"/>
        <v>3108707.027961826</v>
      </c>
      <c r="G35" s="67">
        <f t="shared" si="2"/>
        <v>8180807.968320596</v>
      </c>
    </row>
    <row r="36" spans="2:7" x14ac:dyDescent="0.25">
      <c r="B36" s="53">
        <f t="shared" si="3"/>
        <v>2026</v>
      </c>
      <c r="C36" s="54">
        <f t="shared" si="4"/>
        <v>429141.81228104624</v>
      </c>
      <c r="D36" s="54">
        <f t="shared" si="5"/>
        <v>2241073.9085787968</v>
      </c>
      <c r="E36" s="54">
        <f t="shared" si="6"/>
        <v>2503327.2383061028</v>
      </c>
      <c r="F36" s="63">
        <f t="shared" si="7"/>
        <v>3170881.1685210625</v>
      </c>
      <c r="G36" s="67">
        <f t="shared" si="2"/>
        <v>8344424.1276870081</v>
      </c>
    </row>
    <row r="37" spans="2:7" x14ac:dyDescent="0.25">
      <c r="B37" s="53">
        <f t="shared" si="3"/>
        <v>2027</v>
      </c>
      <c r="C37" s="54">
        <f t="shared" si="4"/>
        <v>437724.64852666715</v>
      </c>
      <c r="D37" s="54">
        <f t="shared" si="5"/>
        <v>2285895.3867503726</v>
      </c>
      <c r="E37" s="54">
        <f t="shared" si="6"/>
        <v>2553393.7830722248</v>
      </c>
      <c r="F37" s="63">
        <f t="shared" si="7"/>
        <v>3234298.7918914836</v>
      </c>
      <c r="G37" s="67">
        <f t="shared" si="2"/>
        <v>8511312.6102407482</v>
      </c>
    </row>
    <row r="38" spans="2:7" x14ac:dyDescent="0.25">
      <c r="B38" s="53">
        <f t="shared" si="3"/>
        <v>2028</v>
      </c>
      <c r="C38" s="54">
        <f t="shared" si="4"/>
        <v>446479.14149720053</v>
      </c>
      <c r="D38" s="54">
        <f t="shared" si="5"/>
        <v>2331613.2944853799</v>
      </c>
      <c r="E38" s="54">
        <f t="shared" si="6"/>
        <v>2604461.6587336692</v>
      </c>
      <c r="F38" s="63">
        <f t="shared" si="7"/>
        <v>3298984.7677293131</v>
      </c>
      <c r="G38" s="67">
        <f t="shared" si="2"/>
        <v>8681538.8624455631</v>
      </c>
    </row>
    <row r="39" spans="2:7" x14ac:dyDescent="0.25">
      <c r="B39" s="53">
        <f t="shared" si="3"/>
        <v>2029</v>
      </c>
      <c r="C39" s="54">
        <f t="shared" si="4"/>
        <v>455408.72432714456</v>
      </c>
      <c r="D39" s="54">
        <f t="shared" si="5"/>
        <v>2378245.5603750874</v>
      </c>
      <c r="E39" s="54">
        <f t="shared" si="6"/>
        <v>2656550.8919083425</v>
      </c>
      <c r="F39" s="63">
        <f t="shared" si="7"/>
        <v>3364964.4630838996</v>
      </c>
      <c r="G39" s="67">
        <f t="shared" si="2"/>
        <v>8855169.6396944746</v>
      </c>
    </row>
    <row r="40" spans="2:7" x14ac:dyDescent="0.25">
      <c r="B40" s="53">
        <f t="shared" si="3"/>
        <v>2030</v>
      </c>
      <c r="C40" s="54">
        <f t="shared" si="4"/>
        <v>464516.89881368744</v>
      </c>
      <c r="D40" s="54">
        <f t="shared" si="5"/>
        <v>2425810.4715825892</v>
      </c>
      <c r="E40" s="54">
        <f t="shared" si="6"/>
        <v>2709681.9097465095</v>
      </c>
      <c r="F40" s="63">
        <f t="shared" si="7"/>
        <v>3432263.7523455778</v>
      </c>
      <c r="G40" s="67">
        <f t="shared" si="2"/>
        <v>9032273.0324883647</v>
      </c>
    </row>
    <row r="41" spans="2:7" x14ac:dyDescent="0.25">
      <c r="B41" s="53">
        <f t="shared" si="3"/>
        <v>2031</v>
      </c>
      <c r="C41" s="54">
        <f t="shared" si="4"/>
        <v>473807.23678996117</v>
      </c>
      <c r="D41" s="54">
        <f t="shared" si="5"/>
        <v>2474326.6810142412</v>
      </c>
      <c r="E41" s="54">
        <f t="shared" si="6"/>
        <v>2763875.5479414398</v>
      </c>
      <c r="F41" s="63">
        <f t="shared" si="7"/>
        <v>3500909.0273924894</v>
      </c>
      <c r="G41" s="67">
        <f t="shared" si="2"/>
        <v>9212918.4931381326</v>
      </c>
    </row>
    <row r="42" spans="2:7" x14ac:dyDescent="0.25">
      <c r="B42" s="53">
        <f t="shared" si="3"/>
        <v>2032</v>
      </c>
      <c r="C42" s="54">
        <f t="shared" si="4"/>
        <v>483283.3815257604</v>
      </c>
      <c r="D42" s="54">
        <f t="shared" si="5"/>
        <v>2523813.2146345261</v>
      </c>
      <c r="E42" s="54">
        <f t="shared" si="6"/>
        <v>2819153.0589002687</v>
      </c>
      <c r="F42" s="63">
        <f t="shared" si="7"/>
        <v>3570927.2079403391</v>
      </c>
      <c r="G42" s="67">
        <f t="shared" si="2"/>
        <v>9397176.8630008958</v>
      </c>
    </row>
    <row r="43" spans="2:7" x14ac:dyDescent="0.25">
      <c r="B43" s="53">
        <f t="shared" si="3"/>
        <v>2033</v>
      </c>
      <c r="C43" s="54">
        <f t="shared" si="4"/>
        <v>492949.04915627564</v>
      </c>
      <c r="D43" s="54">
        <f t="shared" si="5"/>
        <v>2574289.4789272165</v>
      </c>
      <c r="E43" s="54">
        <f t="shared" si="6"/>
        <v>2875536.120078274</v>
      </c>
      <c r="F43" s="63">
        <f t="shared" si="7"/>
        <v>3642345.7520991461</v>
      </c>
      <c r="G43" s="67">
        <f t="shared" si="2"/>
        <v>9585120.4002609123</v>
      </c>
    </row>
    <row r="44" spans="2:7" x14ac:dyDescent="0.25">
      <c r="B44" s="53">
        <f t="shared" si="3"/>
        <v>2034</v>
      </c>
      <c r="C44" s="54">
        <f t="shared" si="4"/>
        <v>502808.03013940115</v>
      </c>
      <c r="D44" s="54">
        <f t="shared" si="5"/>
        <v>2625775.2685057609</v>
      </c>
      <c r="E44" s="54">
        <f t="shared" si="6"/>
        <v>2933046.8424798395</v>
      </c>
      <c r="F44" s="63">
        <f t="shared" si="7"/>
        <v>3715192.6671411293</v>
      </c>
      <c r="G44" s="67">
        <f t="shared" si="2"/>
        <v>9776822.8082661293</v>
      </c>
    </row>
    <row r="45" spans="2:7" x14ac:dyDescent="0.25">
      <c r="B45" s="53">
        <f t="shared" si="3"/>
        <v>2035</v>
      </c>
      <c r="C45" s="54">
        <f t="shared" si="4"/>
        <v>512864.19074218918</v>
      </c>
      <c r="D45" s="54">
        <f t="shared" si="5"/>
        <v>2678290.7738758763</v>
      </c>
      <c r="E45" s="54">
        <f t="shared" si="6"/>
        <v>2991707.7793294364</v>
      </c>
      <c r="F45" s="63">
        <f t="shared" si="7"/>
        <v>3789496.520483952</v>
      </c>
      <c r="G45" s="67">
        <f t="shared" si="2"/>
        <v>9972359.2644314542</v>
      </c>
    </row>
    <row r="46" spans="2:7" x14ac:dyDescent="0.25">
      <c r="B46" s="53">
        <f t="shared" si="3"/>
        <v>2036</v>
      </c>
      <c r="C46" s="54">
        <f t="shared" si="4"/>
        <v>523121.47455703298</v>
      </c>
      <c r="D46" s="54">
        <f t="shared" si="5"/>
        <v>2731856.5893533938</v>
      </c>
      <c r="E46" s="54">
        <f t="shared" si="6"/>
        <v>3051541.934916025</v>
      </c>
      <c r="F46" s="63">
        <f t="shared" si="7"/>
        <v>3865286.4508936312</v>
      </c>
      <c r="G46" s="67">
        <f t="shared" si="2"/>
        <v>10171806.449720083</v>
      </c>
    </row>
    <row r="47" spans="2:7" x14ac:dyDescent="0.25">
      <c r="B47" s="53">
        <f t="shared" si="3"/>
        <v>2037</v>
      </c>
      <c r="C47" s="54">
        <f t="shared" si="4"/>
        <v>533583.90404817369</v>
      </c>
      <c r="D47" s="54">
        <f t="shared" si="5"/>
        <v>2786493.7211404615</v>
      </c>
      <c r="E47" s="54">
        <f t="shared" si="6"/>
        <v>3112572.7736143456</v>
      </c>
      <c r="F47" s="63">
        <f t="shared" si="7"/>
        <v>3942592.179911504</v>
      </c>
      <c r="G47" s="67">
        <f t="shared" si="2"/>
        <v>10375242.578714484</v>
      </c>
    </row>
    <row r="48" spans="2:7" x14ac:dyDescent="0.25">
      <c r="B48" s="53">
        <f t="shared" si="3"/>
        <v>2038</v>
      </c>
      <c r="C48" s="54">
        <f t="shared" si="4"/>
        <v>544255.58212913712</v>
      </c>
      <c r="D48" s="54">
        <f t="shared" si="5"/>
        <v>2842223.5955632706</v>
      </c>
      <c r="E48" s="54">
        <f t="shared" si="6"/>
        <v>3174824.2290866324</v>
      </c>
      <c r="F48" s="63">
        <f t="shared" si="7"/>
        <v>4021444.0235097343</v>
      </c>
      <c r="G48" s="67">
        <f t="shared" si="2"/>
        <v>10582747.430288773</v>
      </c>
    </row>
    <row r="49" spans="2:7" x14ac:dyDescent="0.25">
      <c r="B49" s="53">
        <f t="shared" si="3"/>
        <v>2039</v>
      </c>
      <c r="C49" s="54">
        <f t="shared" si="4"/>
        <v>555140.69377171993</v>
      </c>
      <c r="D49" s="54">
        <f t="shared" si="5"/>
        <v>2899068.0674745361</v>
      </c>
      <c r="E49" s="54">
        <f t="shared" si="6"/>
        <v>3238320.713668365</v>
      </c>
      <c r="F49" s="63">
        <f t="shared" si="7"/>
        <v>4101872.9039799292</v>
      </c>
      <c r="G49" s="67">
        <f t="shared" si="2"/>
        <v>10794402.378894551</v>
      </c>
    </row>
    <row r="50" spans="2:7" x14ac:dyDescent="0.25">
      <c r="B50" s="53">
        <f t="shared" si="3"/>
        <v>2040</v>
      </c>
      <c r="C50" s="54">
        <f t="shared" si="4"/>
        <v>566243.50764715439</v>
      </c>
      <c r="D50" s="54">
        <f t="shared" si="5"/>
        <v>2957049.4288240271</v>
      </c>
      <c r="E50" s="54">
        <f t="shared" si="6"/>
        <v>3303087.1279417323</v>
      </c>
      <c r="F50" s="63">
        <f t="shared" si="7"/>
        <v>4183910.362059528</v>
      </c>
      <c r="G50" s="67">
        <f t="shared" si="2"/>
        <v>11010290.426472442</v>
      </c>
    </row>
    <row r="51" spans="2:7" x14ac:dyDescent="0.25">
      <c r="B51" s="53">
        <f t="shared" si="3"/>
        <v>2041</v>
      </c>
      <c r="C51" s="54">
        <f t="shared" si="4"/>
        <v>577568.37780009746</v>
      </c>
      <c r="D51" s="54">
        <f t="shared" si="5"/>
        <v>3016190.4174005077</v>
      </c>
      <c r="E51" s="54">
        <f t="shared" si="6"/>
        <v>3369148.8705005669</v>
      </c>
      <c r="F51" s="63">
        <f t="shared" si="7"/>
        <v>4267588.5693007186</v>
      </c>
      <c r="G51" s="67">
        <f t="shared" si="2"/>
        <v>11230496.23500189</v>
      </c>
    </row>
    <row r="52" spans="2:7" x14ac:dyDescent="0.25">
      <c r="B52" s="53">
        <f t="shared" si="3"/>
        <v>2042</v>
      </c>
      <c r="C52" s="54">
        <f t="shared" si="4"/>
        <v>589119.74535609945</v>
      </c>
      <c r="D52" s="54">
        <f t="shared" si="5"/>
        <v>3076514.225748518</v>
      </c>
      <c r="E52" s="54">
        <f t="shared" si="6"/>
        <v>3436531.8479105784</v>
      </c>
      <c r="F52" s="63">
        <f t="shared" si="7"/>
        <v>4352940.3406867329</v>
      </c>
      <c r="G52" s="67">
        <f t="shared" si="2"/>
        <v>11455106.159701928</v>
      </c>
    </row>
    <row r="53" spans="2:7" x14ac:dyDescent="0.25">
      <c r="B53" s="53">
        <f t="shared" si="3"/>
        <v>2043</v>
      </c>
      <c r="C53" s="54">
        <f t="shared" si="4"/>
        <v>600902.14026322146</v>
      </c>
      <c r="D53" s="54">
        <f t="shared" si="5"/>
        <v>3138044.5102634886</v>
      </c>
      <c r="E53" s="54">
        <f t="shared" si="6"/>
        <v>3505262.48486879</v>
      </c>
      <c r="F53" s="63">
        <f t="shared" si="7"/>
        <v>4439999.1475004675</v>
      </c>
      <c r="G53" s="67">
        <f t="shared" si="2"/>
        <v>11684208.282895967</v>
      </c>
    </row>
    <row r="54" spans="2:7" x14ac:dyDescent="0.25">
      <c r="B54" s="53">
        <f t="shared" si="3"/>
        <v>2044</v>
      </c>
      <c r="C54" s="54">
        <f t="shared" si="4"/>
        <v>612920.18306848593</v>
      </c>
      <c r="D54" s="54">
        <f t="shared" si="5"/>
        <v>3200805.4004687583</v>
      </c>
      <c r="E54" s="54">
        <f t="shared" si="6"/>
        <v>3575367.7345661661</v>
      </c>
      <c r="F54" s="63">
        <f t="shared" si="7"/>
        <v>4528799.1304504769</v>
      </c>
      <c r="G54" s="67">
        <f t="shared" si="2"/>
        <v>11917892.448553886</v>
      </c>
    </row>
    <row r="55" spans="2:7" ht="15.75" thickBot="1" x14ac:dyDescent="0.3">
      <c r="B55" s="55">
        <f t="shared" si="3"/>
        <v>2045</v>
      </c>
      <c r="C55" s="56">
        <f t="shared" si="4"/>
        <v>625178.58672985563</v>
      </c>
      <c r="D55" s="56">
        <f t="shared" si="5"/>
        <v>3264821.5084781335</v>
      </c>
      <c r="E55" s="56">
        <f t="shared" si="6"/>
        <v>3646875.0892574894</v>
      </c>
      <c r="F55" s="64">
        <f t="shared" si="7"/>
        <v>4619375.1130594863</v>
      </c>
      <c r="G55" s="68">
        <f t="shared" si="2"/>
        <v>12156250.297524966</v>
      </c>
    </row>
  </sheetData>
  <mergeCells count="4">
    <mergeCell ref="B22:D22"/>
    <mergeCell ref="B1:H1"/>
    <mergeCell ref="B2:H2"/>
    <mergeCell ref="B3:H3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0"/>
  <sheetViews>
    <sheetView workbookViewId="0">
      <selection activeCell="L26" sqref="L26"/>
    </sheetView>
  </sheetViews>
  <sheetFormatPr defaultRowHeight="15" x14ac:dyDescent="0.25"/>
  <cols>
    <col min="1" max="1" width="11.7109375" customWidth="1"/>
    <col min="2" max="2" width="19" customWidth="1"/>
    <col min="3" max="4" width="11.7109375" customWidth="1"/>
    <col min="5" max="5" width="31.140625" customWidth="1"/>
    <col min="6" max="7" width="11.7109375" customWidth="1"/>
    <col min="8" max="8" width="14.85546875" customWidth="1"/>
    <col min="9" max="35" width="11.7109375" customWidth="1"/>
  </cols>
  <sheetData>
    <row r="1" spans="2:17" ht="21" x14ac:dyDescent="0.35">
      <c r="B1" s="160" t="s">
        <v>86</v>
      </c>
      <c r="C1" s="160"/>
      <c r="D1" s="160"/>
      <c r="E1" s="160"/>
      <c r="F1" s="160"/>
      <c r="G1" s="160"/>
      <c r="H1" s="160"/>
      <c r="I1" s="160"/>
    </row>
    <row r="2" spans="2:17" ht="21" x14ac:dyDescent="0.35">
      <c r="B2" s="160" t="s">
        <v>87</v>
      </c>
      <c r="C2" s="160"/>
      <c r="D2" s="160"/>
      <c r="E2" s="160"/>
      <c r="F2" s="160"/>
      <c r="G2" s="160"/>
      <c r="H2" s="160"/>
      <c r="I2" s="160"/>
    </row>
    <row r="3" spans="2:17" ht="21" x14ac:dyDescent="0.35">
      <c r="B3" s="160" t="s">
        <v>103</v>
      </c>
      <c r="C3" s="160"/>
      <c r="D3" s="160"/>
      <c r="E3" s="160"/>
      <c r="F3" s="160"/>
      <c r="G3" s="160"/>
      <c r="H3" s="160"/>
      <c r="I3" s="160"/>
    </row>
    <row r="5" spans="2:17" x14ac:dyDescent="0.25">
      <c r="K5" s="36" t="s">
        <v>51</v>
      </c>
    </row>
    <row r="6" spans="2:17" ht="15.75" thickBot="1" x14ac:dyDescent="0.3">
      <c r="B6" s="161" t="s">
        <v>99</v>
      </c>
      <c r="C6" s="161"/>
      <c r="K6" s="36"/>
    </row>
    <row r="7" spans="2:17" ht="45.75" thickBot="1" x14ac:dyDescent="0.3">
      <c r="B7" s="146" t="s">
        <v>94</v>
      </c>
      <c r="C7" s="118">
        <v>2</v>
      </c>
      <c r="E7" s="36" t="s">
        <v>61</v>
      </c>
      <c r="J7" s="44"/>
      <c r="K7" t="s">
        <v>52</v>
      </c>
      <c r="L7" t="s">
        <v>53</v>
      </c>
      <c r="M7" s="40">
        <v>2792941</v>
      </c>
      <c r="N7" s="41">
        <f t="shared" ref="N7:N15" si="0">M7/M$15</f>
        <v>0.13018346701231348</v>
      </c>
      <c r="P7" t="s">
        <v>54</v>
      </c>
      <c r="Q7" s="41">
        <f>SUMIF($L$7:$L$14,P7,$N$7:$N$14)</f>
        <v>0.74413612006105756</v>
      </c>
    </row>
    <row r="8" spans="2:17" ht="45.75" thickBot="1" x14ac:dyDescent="0.3">
      <c r="B8" s="147" t="s">
        <v>84</v>
      </c>
      <c r="C8" s="119">
        <f>36000/2</f>
        <v>18000</v>
      </c>
      <c r="E8" s="111"/>
      <c r="F8" s="86" t="s">
        <v>74</v>
      </c>
      <c r="G8" s="86" t="s">
        <v>75</v>
      </c>
      <c r="H8" s="86" t="s">
        <v>92</v>
      </c>
      <c r="I8" s="92" t="s">
        <v>93</v>
      </c>
      <c r="K8" t="s">
        <v>52</v>
      </c>
      <c r="L8" t="s">
        <v>54</v>
      </c>
      <c r="M8" s="40">
        <v>10901839</v>
      </c>
      <c r="N8" s="41">
        <f t="shared" si="0"/>
        <v>0.50815223015096012</v>
      </c>
      <c r="P8" t="s">
        <v>53</v>
      </c>
      <c r="Q8" s="41">
        <f>SUMIF($L$7:$L$14,P8,$N$7:$N$14)</f>
        <v>0.21933837248304314</v>
      </c>
    </row>
    <row r="9" spans="2:17" x14ac:dyDescent="0.25">
      <c r="B9" s="115" t="s">
        <v>82</v>
      </c>
      <c r="C9" s="112">
        <f>C8*C7*365/60</f>
        <v>219000</v>
      </c>
      <c r="E9" s="106" t="s">
        <v>62</v>
      </c>
      <c r="F9" s="107">
        <v>12.42</v>
      </c>
      <c r="G9" s="108">
        <v>12.72</v>
      </c>
      <c r="H9" s="109">
        <f>(G9-F9)/F9</f>
        <v>2.4154589371980735E-2</v>
      </c>
      <c r="I9" s="110">
        <f>+H9/2</f>
        <v>1.2077294685990368E-2</v>
      </c>
      <c r="K9" t="s">
        <v>55</v>
      </c>
      <c r="L9" t="s">
        <v>53</v>
      </c>
      <c r="M9" s="40">
        <v>1856330</v>
      </c>
      <c r="N9" s="41">
        <f t="shared" si="0"/>
        <v>8.6526523588922169E-2</v>
      </c>
      <c r="P9" t="s">
        <v>56</v>
      </c>
      <c r="Q9" s="41">
        <f>SUMIF($L$7:$L$14,P9,$N$7:$N$14)</f>
        <v>3.6525507455899359E-2</v>
      </c>
    </row>
    <row r="10" spans="2:17" x14ac:dyDescent="0.25">
      <c r="B10" s="116" t="s">
        <v>83</v>
      </c>
      <c r="C10" s="113">
        <f>C9*G12</f>
        <v>3525900.0000000005</v>
      </c>
      <c r="E10" s="98" t="s">
        <v>63</v>
      </c>
      <c r="F10" s="99">
        <v>25.23</v>
      </c>
      <c r="G10" s="100">
        <v>25.84</v>
      </c>
      <c r="H10" s="69">
        <f>(G10-F10)/F10</f>
        <v>2.4177566389219161E-2</v>
      </c>
      <c r="I10" s="101">
        <f t="shared" ref="I10:I12" si="1">+H10/2</f>
        <v>1.2088783194609581E-2</v>
      </c>
      <c r="K10" t="s">
        <v>55</v>
      </c>
      <c r="L10" t="s">
        <v>54</v>
      </c>
      <c r="M10" s="40">
        <v>4856431</v>
      </c>
      <c r="N10" s="41">
        <f t="shared" si="0"/>
        <v>0.22636605101435245</v>
      </c>
      <c r="Q10" s="41">
        <f>SUM(Q7:Q9)</f>
        <v>1</v>
      </c>
    </row>
    <row r="11" spans="2:17" x14ac:dyDescent="0.25">
      <c r="B11" s="116">
        <v>2016</v>
      </c>
      <c r="C11" s="113">
        <f>C10*1.01</f>
        <v>3561159.0000000005</v>
      </c>
      <c r="E11" s="98" t="s">
        <v>56</v>
      </c>
      <c r="F11" s="99">
        <v>25.75</v>
      </c>
      <c r="G11" s="100">
        <v>26.37</v>
      </c>
      <c r="H11" s="69">
        <f>(G11-F11)/F11</f>
        <v>2.4077669902912661E-2</v>
      </c>
      <c r="I11" s="101">
        <f t="shared" si="1"/>
        <v>1.203883495145633E-2</v>
      </c>
      <c r="K11" t="s">
        <v>57</v>
      </c>
      <c r="L11" t="s">
        <v>56</v>
      </c>
      <c r="M11" s="40">
        <v>101057</v>
      </c>
      <c r="N11" s="41">
        <f t="shared" si="0"/>
        <v>4.7104291232300871E-3</v>
      </c>
    </row>
    <row r="12" spans="2:17" ht="15.75" thickBot="1" x14ac:dyDescent="0.3">
      <c r="B12" s="116">
        <f>B11+1</f>
        <v>2017</v>
      </c>
      <c r="C12" s="113">
        <f t="shared" ref="C12:C40" si="2">C11*1.01</f>
        <v>3596770.5900000003</v>
      </c>
      <c r="E12" s="102" t="s">
        <v>64</v>
      </c>
      <c r="F12" s="103">
        <f>ROUND(SUMPRODUCT(F9:F11,Q7:Q9),2)</f>
        <v>15.72</v>
      </c>
      <c r="G12" s="103">
        <f>ROUND(SUMPRODUCT(G9:G11,Q7:Q9),2)</f>
        <v>16.100000000000001</v>
      </c>
      <c r="H12" s="104">
        <f>(G12-F12)/F12</f>
        <v>2.4173027989821932E-2</v>
      </c>
      <c r="I12" s="105">
        <f t="shared" si="1"/>
        <v>1.2086513994910966E-2</v>
      </c>
      <c r="K12" t="s">
        <v>58</v>
      </c>
      <c r="L12" t="s">
        <v>56</v>
      </c>
      <c r="M12" s="40">
        <v>682557</v>
      </c>
      <c r="N12" s="41">
        <f t="shared" si="0"/>
        <v>3.1815078332669271E-2</v>
      </c>
    </row>
    <row r="13" spans="2:17" x14ac:dyDescent="0.25">
      <c r="B13" s="116">
        <f t="shared" ref="B13:B40" si="3">B12+1</f>
        <v>2018</v>
      </c>
      <c r="C13" s="113">
        <f t="shared" si="2"/>
        <v>3632738.2959000003</v>
      </c>
      <c r="K13" t="s">
        <v>59</v>
      </c>
      <c r="L13" t="s">
        <v>53</v>
      </c>
      <c r="M13" s="40">
        <v>56389</v>
      </c>
      <c r="N13" s="41">
        <f t="shared" si="0"/>
        <v>2.6283818818075085E-3</v>
      </c>
    </row>
    <row r="14" spans="2:17" x14ac:dyDescent="0.25">
      <c r="B14" s="116">
        <f t="shared" si="3"/>
        <v>2019</v>
      </c>
      <c r="C14" s="113">
        <f t="shared" si="2"/>
        <v>3669065.6788590001</v>
      </c>
      <c r="I14" s="48"/>
      <c r="K14" t="s">
        <v>60</v>
      </c>
      <c r="L14" t="s">
        <v>54</v>
      </c>
      <c r="M14" s="40">
        <v>206340</v>
      </c>
      <c r="N14" s="41">
        <f t="shared" si="0"/>
        <v>9.6178388957449384E-3</v>
      </c>
    </row>
    <row r="15" spans="2:17" x14ac:dyDescent="0.25">
      <c r="B15" s="116">
        <f t="shared" si="3"/>
        <v>2020</v>
      </c>
      <c r="C15" s="113">
        <f t="shared" si="2"/>
        <v>3705756.33564759</v>
      </c>
      <c r="E15" s="36" t="s">
        <v>66</v>
      </c>
      <c r="H15" s="43"/>
      <c r="I15" s="43"/>
      <c r="M15" s="42">
        <f>SUM(M7:M14)</f>
        <v>21453884</v>
      </c>
      <c r="N15" s="41">
        <f t="shared" si="0"/>
        <v>1</v>
      </c>
    </row>
    <row r="16" spans="2:17" x14ac:dyDescent="0.25">
      <c r="B16" s="116">
        <f t="shared" si="3"/>
        <v>2021</v>
      </c>
      <c r="C16" s="113">
        <f t="shared" si="2"/>
        <v>3742813.8990040659</v>
      </c>
      <c r="E16" s="50" t="s">
        <v>85</v>
      </c>
      <c r="H16" s="43"/>
      <c r="I16" s="43"/>
    </row>
    <row r="17" spans="2:35" x14ac:dyDescent="0.25">
      <c r="B17" s="116">
        <f t="shared" si="3"/>
        <v>2022</v>
      </c>
      <c r="C17" s="113">
        <f t="shared" si="2"/>
        <v>3780242.0379941068</v>
      </c>
      <c r="E17" s="120" t="s">
        <v>95</v>
      </c>
      <c r="H17" s="43"/>
      <c r="I17" s="43"/>
    </row>
    <row r="18" spans="2:35" x14ac:dyDescent="0.25">
      <c r="B18" s="116">
        <f t="shared" si="3"/>
        <v>2023</v>
      </c>
      <c r="C18" s="113">
        <f t="shared" si="2"/>
        <v>3818044.4583740477</v>
      </c>
      <c r="E18" s="121" t="s">
        <v>96</v>
      </c>
      <c r="H18" s="43"/>
      <c r="I18" s="43"/>
    </row>
    <row r="19" spans="2:35" x14ac:dyDescent="0.25">
      <c r="B19" s="116">
        <f t="shared" si="3"/>
        <v>2024</v>
      </c>
      <c r="C19" s="113">
        <f t="shared" si="2"/>
        <v>3856224.9029577882</v>
      </c>
      <c r="E19" s="122" t="s">
        <v>97</v>
      </c>
      <c r="H19" s="43"/>
      <c r="I19" s="43"/>
    </row>
    <row r="20" spans="2:35" x14ac:dyDescent="0.25">
      <c r="B20" s="116">
        <f t="shared" si="3"/>
        <v>2025</v>
      </c>
      <c r="C20" s="113">
        <f t="shared" si="2"/>
        <v>3894787.1519873659</v>
      </c>
      <c r="E20" s="123" t="s">
        <v>98</v>
      </c>
      <c r="H20" s="43"/>
      <c r="I20" s="43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</row>
    <row r="21" spans="2:35" x14ac:dyDescent="0.25">
      <c r="B21" s="116">
        <f t="shared" si="3"/>
        <v>2026</v>
      </c>
      <c r="C21" s="113">
        <f t="shared" si="2"/>
        <v>3933735.0235072398</v>
      </c>
      <c r="K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</row>
    <row r="22" spans="2:35" x14ac:dyDescent="0.25">
      <c r="B22" s="116">
        <f t="shared" si="3"/>
        <v>2027</v>
      </c>
      <c r="C22" s="113">
        <f t="shared" si="2"/>
        <v>3973072.3737423122</v>
      </c>
    </row>
    <row r="23" spans="2:35" x14ac:dyDescent="0.25">
      <c r="B23" s="116">
        <f t="shared" si="3"/>
        <v>2028</v>
      </c>
      <c r="C23" s="113">
        <f t="shared" si="2"/>
        <v>4012803.0974797355</v>
      </c>
    </row>
    <row r="24" spans="2:35" x14ac:dyDescent="0.25">
      <c r="B24" s="116">
        <f t="shared" si="3"/>
        <v>2029</v>
      </c>
      <c r="C24" s="113">
        <f t="shared" si="2"/>
        <v>4052931.1284545329</v>
      </c>
    </row>
    <row r="25" spans="2:35" x14ac:dyDescent="0.25">
      <c r="B25" s="116">
        <f t="shared" si="3"/>
        <v>2030</v>
      </c>
      <c r="C25" s="113">
        <f t="shared" si="2"/>
        <v>4093460.4397390783</v>
      </c>
    </row>
    <row r="26" spans="2:35" x14ac:dyDescent="0.25">
      <c r="B26" s="116">
        <f t="shared" si="3"/>
        <v>2031</v>
      </c>
      <c r="C26" s="113">
        <f t="shared" si="2"/>
        <v>4134395.0441364693</v>
      </c>
    </row>
    <row r="27" spans="2:35" x14ac:dyDescent="0.25">
      <c r="B27" s="116">
        <f t="shared" si="3"/>
        <v>2032</v>
      </c>
      <c r="C27" s="113">
        <f t="shared" si="2"/>
        <v>4175738.9945778339</v>
      </c>
    </row>
    <row r="28" spans="2:35" x14ac:dyDescent="0.25">
      <c r="B28" s="116">
        <f t="shared" si="3"/>
        <v>2033</v>
      </c>
      <c r="C28" s="113">
        <f t="shared" si="2"/>
        <v>4217496.3845236124</v>
      </c>
    </row>
    <row r="29" spans="2:35" x14ac:dyDescent="0.25">
      <c r="B29" s="116">
        <f t="shared" si="3"/>
        <v>2034</v>
      </c>
      <c r="C29" s="113">
        <f t="shared" si="2"/>
        <v>4259671.3483688487</v>
      </c>
    </row>
    <row r="30" spans="2:35" x14ac:dyDescent="0.25">
      <c r="B30" s="116">
        <f t="shared" si="3"/>
        <v>2035</v>
      </c>
      <c r="C30" s="113">
        <f t="shared" si="2"/>
        <v>4302268.0618525371</v>
      </c>
    </row>
    <row r="31" spans="2:35" x14ac:dyDescent="0.25">
      <c r="B31" s="116">
        <f t="shared" si="3"/>
        <v>2036</v>
      </c>
      <c r="C31" s="113">
        <f t="shared" si="2"/>
        <v>4345290.7424710626</v>
      </c>
    </row>
    <row r="32" spans="2:35" x14ac:dyDescent="0.25">
      <c r="B32" s="116">
        <f t="shared" si="3"/>
        <v>2037</v>
      </c>
      <c r="C32" s="113">
        <f t="shared" si="2"/>
        <v>4388743.6498957733</v>
      </c>
    </row>
    <row r="33" spans="2:3" x14ac:dyDescent="0.25">
      <c r="B33" s="116">
        <f t="shared" si="3"/>
        <v>2038</v>
      </c>
      <c r="C33" s="113">
        <f t="shared" si="2"/>
        <v>4432631.086394731</v>
      </c>
    </row>
    <row r="34" spans="2:3" x14ac:dyDescent="0.25">
      <c r="B34" s="116">
        <f t="shared" si="3"/>
        <v>2039</v>
      </c>
      <c r="C34" s="113">
        <f t="shared" si="2"/>
        <v>4476957.3972586785</v>
      </c>
    </row>
    <row r="35" spans="2:3" x14ac:dyDescent="0.25">
      <c r="B35" s="116">
        <f t="shared" si="3"/>
        <v>2040</v>
      </c>
      <c r="C35" s="113">
        <f t="shared" si="2"/>
        <v>4521726.971231265</v>
      </c>
    </row>
    <row r="36" spans="2:3" x14ac:dyDescent="0.25">
      <c r="B36" s="116">
        <f t="shared" si="3"/>
        <v>2041</v>
      </c>
      <c r="C36" s="113">
        <f t="shared" si="2"/>
        <v>4566944.2409435781</v>
      </c>
    </row>
    <row r="37" spans="2:3" x14ac:dyDescent="0.25">
      <c r="B37" s="116">
        <f t="shared" si="3"/>
        <v>2042</v>
      </c>
      <c r="C37" s="113">
        <f t="shared" si="2"/>
        <v>4612613.6833530143</v>
      </c>
    </row>
    <row r="38" spans="2:3" x14ac:dyDescent="0.25">
      <c r="B38" s="116">
        <f t="shared" si="3"/>
        <v>2043</v>
      </c>
      <c r="C38" s="113">
        <f t="shared" si="2"/>
        <v>4658739.8201865442</v>
      </c>
    </row>
    <row r="39" spans="2:3" x14ac:dyDescent="0.25">
      <c r="B39" s="116">
        <f t="shared" si="3"/>
        <v>2044</v>
      </c>
      <c r="C39" s="113">
        <f t="shared" si="2"/>
        <v>4705327.2183884094</v>
      </c>
    </row>
    <row r="40" spans="2:3" ht="15.75" thickBot="1" x14ac:dyDescent="0.3">
      <c r="B40" s="117">
        <f t="shared" si="3"/>
        <v>2045</v>
      </c>
      <c r="C40" s="114">
        <f t="shared" si="2"/>
        <v>4752380.4905722933</v>
      </c>
    </row>
  </sheetData>
  <mergeCells count="4">
    <mergeCell ref="B6:C6"/>
    <mergeCell ref="B3:I3"/>
    <mergeCell ref="B1:I1"/>
    <mergeCell ref="B2:I2"/>
  </mergeCell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I22" sqref="I22"/>
    </sheetView>
  </sheetViews>
  <sheetFormatPr defaultRowHeight="15" x14ac:dyDescent="0.25"/>
  <cols>
    <col min="1" max="1" width="4.7109375" customWidth="1"/>
    <col min="2" max="2" width="6.140625" customWidth="1"/>
    <col min="3" max="3" width="6.5703125" customWidth="1"/>
    <col min="4" max="4" width="50.7109375" customWidth="1"/>
    <col min="5" max="5" width="7.42578125" customWidth="1"/>
    <col min="6" max="7" width="14.7109375" customWidth="1"/>
  </cols>
  <sheetData>
    <row r="1" spans="1:7" ht="21" x14ac:dyDescent="0.35">
      <c r="A1" s="160" t="s">
        <v>86</v>
      </c>
      <c r="B1" s="160"/>
      <c r="C1" s="160"/>
      <c r="D1" s="160"/>
      <c r="E1" s="160"/>
      <c r="F1" s="160"/>
      <c r="G1" s="160"/>
    </row>
    <row r="2" spans="1:7" ht="21" x14ac:dyDescent="0.35">
      <c r="A2" s="160" t="s">
        <v>105</v>
      </c>
      <c r="B2" s="160"/>
      <c r="C2" s="160"/>
      <c r="D2" s="160"/>
      <c r="E2" s="160"/>
      <c r="F2" s="160"/>
      <c r="G2" s="160"/>
    </row>
    <row r="3" spans="1:7" ht="21" x14ac:dyDescent="0.35">
      <c r="A3" s="160" t="s">
        <v>106</v>
      </c>
      <c r="B3" s="160"/>
      <c r="C3" s="160"/>
      <c r="D3" s="160"/>
      <c r="E3" s="160"/>
      <c r="F3" s="160"/>
      <c r="G3" s="160"/>
    </row>
    <row r="4" spans="1:7" ht="15.75" thickBot="1" x14ac:dyDescent="0.3">
      <c r="G4" s="162">
        <v>42016</v>
      </c>
    </row>
    <row r="5" spans="1:7" ht="15.75" thickBot="1" x14ac:dyDescent="0.3">
      <c r="A5" s="201" t="s">
        <v>107</v>
      </c>
      <c r="B5" s="202" t="s">
        <v>108</v>
      </c>
      <c r="C5" s="202" t="s">
        <v>109</v>
      </c>
      <c r="D5" s="202" t="s">
        <v>110</v>
      </c>
      <c r="E5" s="203"/>
      <c r="F5" s="204" t="s">
        <v>111</v>
      </c>
      <c r="G5" s="205" t="s">
        <v>112</v>
      </c>
    </row>
    <row r="6" spans="1:7" x14ac:dyDescent="0.25">
      <c r="A6" s="163" t="s">
        <v>113</v>
      </c>
      <c r="B6" s="163"/>
      <c r="C6" s="163"/>
      <c r="D6" s="163"/>
      <c r="E6" s="163"/>
      <c r="F6" s="163"/>
      <c r="G6" s="163"/>
    </row>
    <row r="7" spans="1:7" x14ac:dyDescent="0.25">
      <c r="A7" s="164" t="s">
        <v>114</v>
      </c>
      <c r="B7" s="165">
        <v>1</v>
      </c>
      <c r="C7" s="166" t="s">
        <v>115</v>
      </c>
      <c r="D7" s="167" t="s">
        <v>116</v>
      </c>
      <c r="E7" s="167"/>
      <c r="F7" s="168">
        <f>ROUNDUP(SUM(G9:G40)*0.03,-2)</f>
        <v>190300</v>
      </c>
      <c r="G7" s="169">
        <f>F7*B7</f>
        <v>190300</v>
      </c>
    </row>
    <row r="8" spans="1:7" x14ac:dyDescent="0.25">
      <c r="A8" s="170">
        <v>2</v>
      </c>
      <c r="B8" s="171">
        <v>53000</v>
      </c>
      <c r="C8" s="172" t="s">
        <v>117</v>
      </c>
      <c r="D8" s="173" t="s">
        <v>118</v>
      </c>
      <c r="E8" s="173"/>
      <c r="F8" s="174"/>
      <c r="G8" s="174"/>
    </row>
    <row r="9" spans="1:7" x14ac:dyDescent="0.25">
      <c r="A9" s="175"/>
      <c r="B9" s="176"/>
      <c r="C9" s="177"/>
      <c r="D9" s="177" t="s">
        <v>119</v>
      </c>
      <c r="E9" s="177"/>
      <c r="F9" s="178">
        <v>10</v>
      </c>
      <c r="G9" s="179">
        <f>F9*B8</f>
        <v>530000</v>
      </c>
    </row>
    <row r="10" spans="1:7" x14ac:dyDescent="0.25">
      <c r="A10" s="180">
        <f>A8+1</f>
        <v>3</v>
      </c>
      <c r="B10" s="171">
        <v>51000</v>
      </c>
      <c r="C10" s="172" t="s">
        <v>117</v>
      </c>
      <c r="D10" s="181" t="s">
        <v>120</v>
      </c>
      <c r="E10" s="173"/>
      <c r="F10" s="174"/>
      <c r="G10" s="174"/>
    </row>
    <row r="11" spans="1:7" ht="23.25" x14ac:dyDescent="0.25">
      <c r="A11" s="182"/>
      <c r="B11" s="183"/>
      <c r="C11" s="176"/>
      <c r="D11" s="184" t="s">
        <v>121</v>
      </c>
      <c r="E11" s="177"/>
      <c r="F11" s="178">
        <v>85</v>
      </c>
      <c r="G11" s="179">
        <f>F11*B10</f>
        <v>4335000</v>
      </c>
    </row>
    <row r="12" spans="1:7" x14ac:dyDescent="0.25">
      <c r="A12" s="180">
        <f>A10+1</f>
        <v>4</v>
      </c>
      <c r="B12" s="171">
        <v>14100</v>
      </c>
      <c r="C12" s="172" t="s">
        <v>122</v>
      </c>
      <c r="D12" s="173" t="s">
        <v>123</v>
      </c>
      <c r="E12" s="173"/>
      <c r="F12" s="174"/>
      <c r="G12" s="174"/>
    </row>
    <row r="13" spans="1:7" x14ac:dyDescent="0.25">
      <c r="A13" s="182"/>
      <c r="B13" s="183"/>
      <c r="C13" s="176"/>
      <c r="D13" s="177" t="s">
        <v>124</v>
      </c>
      <c r="E13" s="177"/>
      <c r="F13" s="178">
        <v>6</v>
      </c>
      <c r="G13" s="179">
        <f>F13*B12</f>
        <v>84600</v>
      </c>
    </row>
    <row r="14" spans="1:7" x14ac:dyDescent="0.25">
      <c r="A14" s="180">
        <f>A12+1</f>
        <v>5</v>
      </c>
      <c r="B14" s="171">
        <v>1100</v>
      </c>
      <c r="C14" s="172" t="s">
        <v>122</v>
      </c>
      <c r="D14" s="173" t="s">
        <v>125</v>
      </c>
      <c r="E14" s="173"/>
      <c r="F14" s="174"/>
      <c r="G14" s="174"/>
    </row>
    <row r="15" spans="1:7" x14ac:dyDescent="0.25">
      <c r="A15" s="175"/>
      <c r="B15" s="176"/>
      <c r="C15" s="177"/>
      <c r="D15" s="177" t="s">
        <v>126</v>
      </c>
      <c r="E15" s="177"/>
      <c r="F15" s="178">
        <v>15</v>
      </c>
      <c r="G15" s="179">
        <f>F15*B14</f>
        <v>16500</v>
      </c>
    </row>
    <row r="16" spans="1:7" x14ac:dyDescent="0.25">
      <c r="A16" s="180">
        <f>A14+1</f>
        <v>6</v>
      </c>
      <c r="B16" s="171">
        <v>5500</v>
      </c>
      <c r="C16" s="172" t="s">
        <v>117</v>
      </c>
      <c r="D16" s="185" t="s">
        <v>127</v>
      </c>
      <c r="E16" s="173"/>
      <c r="F16" s="174"/>
      <c r="G16" s="174"/>
    </row>
    <row r="17" spans="1:7" x14ac:dyDescent="0.25">
      <c r="A17" s="175"/>
      <c r="B17" s="176"/>
      <c r="C17" s="177"/>
      <c r="D17" s="177" t="s">
        <v>128</v>
      </c>
      <c r="E17" s="177"/>
      <c r="F17" s="178">
        <v>65</v>
      </c>
      <c r="G17" s="179">
        <f>F17*B16</f>
        <v>357500</v>
      </c>
    </row>
    <row r="18" spans="1:7" x14ac:dyDescent="0.25">
      <c r="A18" s="180">
        <f>A16+1</f>
        <v>7</v>
      </c>
      <c r="B18" s="171">
        <v>2500</v>
      </c>
      <c r="C18" s="172" t="s">
        <v>129</v>
      </c>
      <c r="D18" s="185" t="s">
        <v>130</v>
      </c>
      <c r="E18" s="173"/>
      <c r="F18" s="174"/>
      <c r="G18" s="174"/>
    </row>
    <row r="19" spans="1:7" x14ac:dyDescent="0.25">
      <c r="A19" s="175"/>
      <c r="B19" s="176"/>
      <c r="C19" s="177"/>
      <c r="D19" s="177" t="s">
        <v>131</v>
      </c>
      <c r="E19" s="177"/>
      <c r="F19" s="178">
        <v>12</v>
      </c>
      <c r="G19" s="179">
        <f>F19*B18</f>
        <v>30000</v>
      </c>
    </row>
    <row r="20" spans="1:7" x14ac:dyDescent="0.25">
      <c r="A20" s="180">
        <f>A18+1</f>
        <v>8</v>
      </c>
      <c r="B20" s="171">
        <v>6375</v>
      </c>
      <c r="C20" s="172" t="s">
        <v>122</v>
      </c>
      <c r="D20" s="173" t="s">
        <v>132</v>
      </c>
      <c r="E20" s="173"/>
      <c r="F20" s="174"/>
      <c r="G20" s="174"/>
    </row>
    <row r="21" spans="1:7" x14ac:dyDescent="0.25">
      <c r="A21" s="186"/>
      <c r="B21" s="187"/>
      <c r="C21" s="188"/>
      <c r="D21" s="188" t="s">
        <v>133</v>
      </c>
      <c r="E21" s="188"/>
      <c r="F21" s="189"/>
      <c r="G21" s="189"/>
    </row>
    <row r="22" spans="1:7" x14ac:dyDescent="0.25">
      <c r="A22" s="175"/>
      <c r="B22" s="176"/>
      <c r="C22" s="177"/>
      <c r="D22" s="177" t="s">
        <v>134</v>
      </c>
      <c r="E22" s="177"/>
      <c r="F22" s="178">
        <v>10</v>
      </c>
      <c r="G22" s="179">
        <f>B20*F22</f>
        <v>63750</v>
      </c>
    </row>
    <row r="23" spans="1:7" x14ac:dyDescent="0.25">
      <c r="A23" s="180">
        <f>A20+1</f>
        <v>9</v>
      </c>
      <c r="B23" s="171">
        <v>9500</v>
      </c>
      <c r="C23" s="172" t="s">
        <v>122</v>
      </c>
      <c r="D23" s="173" t="s">
        <v>135</v>
      </c>
      <c r="E23" s="173"/>
      <c r="F23" s="174"/>
      <c r="G23" s="174"/>
    </row>
    <row r="24" spans="1:7" x14ac:dyDescent="0.25">
      <c r="A24" s="186"/>
      <c r="B24" s="187"/>
      <c r="C24" s="188"/>
      <c r="D24" s="188" t="s">
        <v>133</v>
      </c>
      <c r="E24" s="188"/>
      <c r="F24" s="189"/>
      <c r="G24" s="189"/>
    </row>
    <row r="25" spans="1:7" x14ac:dyDescent="0.25">
      <c r="A25" s="175"/>
      <c r="B25" s="176"/>
      <c r="C25" s="177"/>
      <c r="D25" s="177" t="s">
        <v>134</v>
      </c>
      <c r="E25" s="177"/>
      <c r="F25" s="178">
        <v>5</v>
      </c>
      <c r="G25" s="179">
        <f>F25*B23</f>
        <v>47500</v>
      </c>
    </row>
    <row r="26" spans="1:7" x14ac:dyDescent="0.25">
      <c r="A26" s="180">
        <f>A23+1</f>
        <v>10</v>
      </c>
      <c r="B26" s="171">
        <v>6400</v>
      </c>
      <c r="C26" s="172" t="s">
        <v>122</v>
      </c>
      <c r="D26" s="173" t="s">
        <v>136</v>
      </c>
      <c r="E26" s="173"/>
      <c r="F26" s="174"/>
      <c r="G26" s="174"/>
    </row>
    <row r="27" spans="1:7" x14ac:dyDescent="0.25">
      <c r="A27" s="186"/>
      <c r="B27" s="187"/>
      <c r="C27" s="188"/>
      <c r="D27" s="188" t="s">
        <v>137</v>
      </c>
      <c r="E27" s="188"/>
      <c r="F27" s="189"/>
      <c r="G27" s="189"/>
    </row>
    <row r="28" spans="1:7" x14ac:dyDescent="0.25">
      <c r="A28" s="186"/>
      <c r="B28" s="187"/>
      <c r="C28" s="188"/>
      <c r="D28" s="188" t="s">
        <v>138</v>
      </c>
      <c r="E28" s="188"/>
      <c r="F28" s="189"/>
      <c r="G28" s="189"/>
    </row>
    <row r="29" spans="1:7" x14ac:dyDescent="0.25">
      <c r="A29" s="186"/>
      <c r="B29" s="187"/>
      <c r="C29" s="188"/>
      <c r="D29" s="188" t="s">
        <v>139</v>
      </c>
      <c r="E29" s="188"/>
      <c r="F29" s="189"/>
      <c r="G29" s="189"/>
    </row>
    <row r="30" spans="1:7" x14ac:dyDescent="0.25">
      <c r="A30" s="175"/>
      <c r="B30" s="176"/>
      <c r="C30" s="177"/>
      <c r="D30" s="177" t="s">
        <v>140</v>
      </c>
      <c r="E30" s="177"/>
      <c r="F30" s="178">
        <v>18</v>
      </c>
      <c r="G30" s="179">
        <f>F30*B26</f>
        <v>115200</v>
      </c>
    </row>
    <row r="31" spans="1:7" ht="15" customHeight="1" x14ac:dyDescent="0.25">
      <c r="A31" s="180">
        <f>A26+1</f>
        <v>11</v>
      </c>
      <c r="B31" s="171">
        <v>1200</v>
      </c>
      <c r="C31" s="172" t="s">
        <v>129</v>
      </c>
      <c r="D31" s="190" t="s">
        <v>141</v>
      </c>
      <c r="E31" s="173"/>
      <c r="F31" s="191"/>
      <c r="G31" s="174"/>
    </row>
    <row r="32" spans="1:7" x14ac:dyDescent="0.25">
      <c r="A32" s="175"/>
      <c r="B32" s="176"/>
      <c r="C32" s="177"/>
      <c r="D32" s="190"/>
      <c r="E32" s="177"/>
      <c r="F32" s="178">
        <v>25</v>
      </c>
      <c r="G32" s="179">
        <f>F32*B31</f>
        <v>30000</v>
      </c>
    </row>
    <row r="33" spans="1:7" ht="15" customHeight="1" x14ac:dyDescent="0.25">
      <c r="A33" s="180">
        <f>A31+1</f>
        <v>12</v>
      </c>
      <c r="B33" s="171">
        <v>15.2</v>
      </c>
      <c r="C33" s="172" t="s">
        <v>142</v>
      </c>
      <c r="D33" s="190" t="s">
        <v>143</v>
      </c>
      <c r="E33" s="173"/>
      <c r="F33" s="191"/>
      <c r="G33" s="174"/>
    </row>
    <row r="34" spans="1:7" x14ac:dyDescent="0.25">
      <c r="A34" s="175"/>
      <c r="B34" s="176"/>
      <c r="C34" s="177"/>
      <c r="D34" s="190"/>
      <c r="E34" s="177"/>
      <c r="F34" s="178">
        <v>150</v>
      </c>
      <c r="G34" s="179">
        <f>F34*B33</f>
        <v>2280</v>
      </c>
    </row>
    <row r="35" spans="1:7" x14ac:dyDescent="0.25">
      <c r="A35" s="192">
        <f>A33+1</f>
        <v>13</v>
      </c>
      <c r="B35" s="165">
        <v>127</v>
      </c>
      <c r="C35" s="166" t="s">
        <v>144</v>
      </c>
      <c r="D35" s="167" t="s">
        <v>145</v>
      </c>
      <c r="E35" s="167"/>
      <c r="F35" s="168">
        <v>300</v>
      </c>
      <c r="G35" s="169">
        <f t="shared" ref="G35:G40" si="0">F35*B35</f>
        <v>38100</v>
      </c>
    </row>
    <row r="36" spans="1:7" x14ac:dyDescent="0.25">
      <c r="A36" s="192">
        <f>A35+1</f>
        <v>14</v>
      </c>
      <c r="B36" s="165">
        <v>50</v>
      </c>
      <c r="C36" s="166" t="s">
        <v>144</v>
      </c>
      <c r="D36" s="167" t="s">
        <v>146</v>
      </c>
      <c r="E36" s="167"/>
      <c r="F36" s="168">
        <v>2500</v>
      </c>
      <c r="G36" s="169">
        <f t="shared" si="0"/>
        <v>125000</v>
      </c>
    </row>
    <row r="37" spans="1:7" x14ac:dyDescent="0.25">
      <c r="A37" s="192">
        <f>A36+1</f>
        <v>15</v>
      </c>
      <c r="B37" s="165">
        <v>1600</v>
      </c>
      <c r="C37" s="166" t="s">
        <v>122</v>
      </c>
      <c r="D37" s="167" t="s">
        <v>147</v>
      </c>
      <c r="E37" s="167"/>
      <c r="F37" s="168">
        <v>80</v>
      </c>
      <c r="G37" s="169">
        <f t="shared" si="0"/>
        <v>128000</v>
      </c>
    </row>
    <row r="38" spans="1:7" x14ac:dyDescent="0.25">
      <c r="A38" s="164">
        <f>A37+1</f>
        <v>16</v>
      </c>
      <c r="B38" s="166">
        <v>21000</v>
      </c>
      <c r="C38" s="166" t="s">
        <v>129</v>
      </c>
      <c r="D38" s="167" t="s">
        <v>148</v>
      </c>
      <c r="E38" s="167"/>
      <c r="F38" s="193">
        <v>12</v>
      </c>
      <c r="G38" s="169">
        <f t="shared" si="0"/>
        <v>252000</v>
      </c>
    </row>
    <row r="39" spans="1:7" x14ac:dyDescent="0.25">
      <c r="A39" s="164">
        <f>A38+1</f>
        <v>17</v>
      </c>
      <c r="B39" s="166">
        <v>1</v>
      </c>
      <c r="C39" s="166" t="s">
        <v>115</v>
      </c>
      <c r="D39" s="167" t="s">
        <v>149</v>
      </c>
      <c r="E39" s="167"/>
      <c r="F39" s="193">
        <v>150000</v>
      </c>
      <c r="G39" s="169">
        <f t="shared" si="0"/>
        <v>150000</v>
      </c>
    </row>
    <row r="40" spans="1:7" x14ac:dyDescent="0.25">
      <c r="A40" s="164">
        <f>A39+1</f>
        <v>18</v>
      </c>
      <c r="B40" s="166">
        <v>7000</v>
      </c>
      <c r="C40" s="166" t="s">
        <v>122</v>
      </c>
      <c r="D40" s="167" t="s">
        <v>150</v>
      </c>
      <c r="E40" s="167"/>
      <c r="F40" s="193">
        <v>5</v>
      </c>
      <c r="G40" s="169">
        <f t="shared" si="0"/>
        <v>35000</v>
      </c>
    </row>
    <row r="41" spans="1:7" x14ac:dyDescent="0.25">
      <c r="A41" s="194"/>
      <c r="B41" s="195"/>
      <c r="C41" s="195"/>
      <c r="D41" s="195"/>
      <c r="E41" s="195"/>
      <c r="F41" s="196" t="s">
        <v>151</v>
      </c>
      <c r="G41" s="197">
        <f>ROUNDUP(SUM(G7:G40),-3)</f>
        <v>6531000</v>
      </c>
    </row>
    <row r="42" spans="1:7" ht="15.75" thickBot="1" x14ac:dyDescent="0.3">
      <c r="A42" s="194"/>
      <c r="B42" s="195"/>
      <c r="C42" s="195"/>
      <c r="D42" s="195"/>
      <c r="E42" s="195"/>
      <c r="F42" s="196" t="s">
        <v>152</v>
      </c>
      <c r="G42" s="198">
        <f>ROUNDUP(G41*0.2,-4)</f>
        <v>1310000</v>
      </c>
    </row>
    <row r="43" spans="1:7" x14ac:dyDescent="0.25">
      <c r="A43" s="194"/>
      <c r="B43" s="195"/>
      <c r="C43" s="195"/>
      <c r="D43" s="195"/>
      <c r="E43" s="195"/>
      <c r="F43" s="196" t="s">
        <v>153</v>
      </c>
      <c r="G43" s="199">
        <f>+G41+G42</f>
        <v>7841000</v>
      </c>
    </row>
    <row r="44" spans="1:7" x14ac:dyDescent="0.25">
      <c r="A44" s="194"/>
      <c r="B44" s="195"/>
      <c r="C44" s="195"/>
      <c r="D44" s="195"/>
      <c r="E44" s="195"/>
      <c r="F44" s="196" t="s">
        <v>154</v>
      </c>
      <c r="G44" s="197">
        <f>ROUNDUP(G43*0.1,-3)</f>
        <v>785000</v>
      </c>
    </row>
    <row r="45" spans="1:7" x14ac:dyDescent="0.25">
      <c r="A45" s="194"/>
      <c r="B45" s="195"/>
      <c r="C45" s="195"/>
      <c r="D45" s="195"/>
      <c r="E45" s="195"/>
      <c r="F45" s="196" t="s">
        <v>155</v>
      </c>
      <c r="G45" s="197">
        <f>ROUNDUP($G$43*0.03,-4)</f>
        <v>240000</v>
      </c>
    </row>
    <row r="46" spans="1:7" x14ac:dyDescent="0.25">
      <c r="A46" s="194"/>
      <c r="B46" s="195"/>
      <c r="C46" s="195"/>
      <c r="D46" s="195"/>
      <c r="E46" s="195"/>
      <c r="F46" s="196" t="s">
        <v>156</v>
      </c>
      <c r="G46" s="197">
        <f>ROUNDUP($G$43*0.03,-4)</f>
        <v>240000</v>
      </c>
    </row>
    <row r="47" spans="1:7" x14ac:dyDescent="0.25">
      <c r="A47" s="194"/>
      <c r="B47" s="195"/>
      <c r="C47" s="195"/>
      <c r="D47" s="195"/>
      <c r="E47" s="195"/>
      <c r="F47" s="196" t="s">
        <v>157</v>
      </c>
      <c r="G47" s="197">
        <f>ROUNDUP($G$43*0.06,-4)</f>
        <v>480000</v>
      </c>
    </row>
    <row r="48" spans="1:7" x14ac:dyDescent="0.25">
      <c r="A48" s="194"/>
      <c r="B48" s="195"/>
      <c r="C48" s="195"/>
      <c r="D48" s="195"/>
      <c r="E48" s="195"/>
      <c r="F48" s="196" t="s">
        <v>158</v>
      </c>
      <c r="G48" s="197">
        <v>60000</v>
      </c>
    </row>
    <row r="49" spans="1:7" ht="15.75" thickBot="1" x14ac:dyDescent="0.3">
      <c r="A49" s="194"/>
      <c r="B49" s="195"/>
      <c r="C49" s="195"/>
      <c r="D49" s="195"/>
      <c r="E49" s="195"/>
      <c r="F49" s="196" t="s">
        <v>159</v>
      </c>
      <c r="G49" s="197">
        <v>60000</v>
      </c>
    </row>
    <row r="50" spans="1:7" ht="15.75" thickBot="1" x14ac:dyDescent="0.3">
      <c r="A50" s="194"/>
      <c r="B50" s="195"/>
      <c r="C50" s="195"/>
      <c r="D50" s="195"/>
      <c r="E50" s="195"/>
      <c r="F50" s="196" t="s">
        <v>160</v>
      </c>
      <c r="G50" s="200">
        <f>ROUNDUP(SUM(G43:G49),-4)</f>
        <v>9710000</v>
      </c>
    </row>
  </sheetData>
  <mergeCells count="6">
    <mergeCell ref="A1:G1"/>
    <mergeCell ref="A2:G2"/>
    <mergeCell ref="A3:G3"/>
    <mergeCell ref="A6:G6"/>
    <mergeCell ref="D31:D32"/>
    <mergeCell ref="D33:D3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CBA</vt:lpstr>
      <vt:lpstr>Accident Prevention</vt:lpstr>
      <vt:lpstr>Time Savings</vt:lpstr>
      <vt:lpstr>Cost Estimate</vt:lpstr>
      <vt:lpstr>Sheet1</vt:lpstr>
      <vt:lpstr>'Accident Prevention'!Print_Area</vt:lpstr>
      <vt:lpstr>CBA!Print_Area</vt:lpstr>
      <vt:lpstr>'Time Savings'!Print_Area</vt:lpstr>
    </vt:vector>
  </TitlesOfParts>
  <Company>HDR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Ratcliffe, Stephen</dc:creator>
  <cp:lastModifiedBy>Ratcliffe, Stephen</cp:lastModifiedBy>
  <cp:lastPrinted>2015-01-12T16:48:09Z</cp:lastPrinted>
  <dcterms:created xsi:type="dcterms:W3CDTF">2014-11-25T22:31:24Z</dcterms:created>
  <dcterms:modified xsi:type="dcterms:W3CDTF">2015-01-12T22:03:29Z</dcterms:modified>
</cp:coreProperties>
</file>