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codeName="{8C4F1C90-05EB-6A55-5F09-09C24B55AC0B}"/>
  <workbookPr codeName="ThisWorkbook" defaultThemeVersion="124226"/>
  <bookViews>
    <workbookView xWindow="15" yWindow="45" windowWidth="15645" windowHeight="7980" tabRatio="763" activeTab="3"/>
  </bookViews>
  <sheets>
    <sheet name="Instructions" sheetId="8" r:id="rId1"/>
    <sheet name="ITS Delay Worksheet" sheetId="7" state="hidden" r:id="rId2"/>
    <sheet name="Emissions Reduction Worksheet" sheetId="5" state="hidden" r:id="rId3"/>
    <sheet name="Inputs &amp; Outputs" sheetId="11" r:id="rId4"/>
    <sheet name="CRASH" sheetId="13" r:id="rId5"/>
    <sheet name="Calculations" sheetId="12" r:id="rId6"/>
    <sheet name="Assumed Values" sheetId="2" r:id="rId7"/>
    <sheet name="Value of Travel Time" sheetId="1" r:id="rId8"/>
    <sheet name="Value of Statistical Life" sheetId="9" r:id="rId9"/>
    <sheet name="Value of Emissions" sheetId="6" r:id="rId10"/>
    <sheet name="GDP Deflators" sheetId="4" r:id="rId11"/>
    <sheet name="CRASH SUM" sheetId="14" r:id="rId12"/>
  </sheets>
  <definedNames>
    <definedName name="_2018_2025_Demand_Growth">Calculations!$E$4</definedName>
    <definedName name="_2018_2025_V_C_Growth">Calculations!$E$10</definedName>
    <definedName name="_2018_2040_Demand_Growth">Calculations!$E$6</definedName>
    <definedName name="_2018_2040_V_C_Growth">Calculations!$E$12</definedName>
    <definedName name="_2018_Capacity">'Inputs &amp; Outputs'!$B$17</definedName>
    <definedName name="_2018_V_C_Ratio">Calculations!$E$7</definedName>
    <definedName name="_2018_Volume">'Inputs &amp; Outputs'!$B$16</definedName>
    <definedName name="_2025_2040_Demand_Growth">Calculations!$E$5</definedName>
    <definedName name="_2025_2040_V_C_Growth">Calculations!$E$11</definedName>
    <definedName name="_2025_Capacity">'Inputs &amp; Outputs'!$B$19</definedName>
    <definedName name="_2025_V_C_Ratio">Calculations!$E$8</definedName>
    <definedName name="_2025_Volume">'Inputs &amp; Outputs'!$B$18</definedName>
    <definedName name="_2040_Capacity">'Inputs &amp; Outputs'!$B$21</definedName>
    <definedName name="_2040_V_C_Ratio">Calculations!$E$9</definedName>
    <definedName name="_2040_Volume">'Inputs &amp; Outputs'!$B$20</definedName>
    <definedName name="Annual_Days_of_Travel">Calculations!#REF!</definedName>
    <definedName name="Application_ID_Number">'Inputs &amp; Outputs'!$B$7</definedName>
    <definedName name="Appropriate_Crash_Reduction_Factor">'Inputs &amp; Outputs'!$B$12</definedName>
    <definedName name="Avg_Death_Cnt">'Inputs &amp; Outputs'!$H$10</definedName>
    <definedName name="Avg_Incap_Injry_Cnt">'Inputs &amp; Outputs'!$H$11</definedName>
    <definedName name="Avg_Non_Injry_Cnt">'Inputs &amp; Outputs'!$H$14</definedName>
    <definedName name="Avg_Nonincap_Injry_Cnt">'Inputs &amp; Outputs'!$H$12</definedName>
    <definedName name="Avg_Poss_Injry_Cnt">'Inputs &amp; Outputs'!$H$13</definedName>
    <definedName name="Avg_Unkn_Injry_Cnt">'Inputs &amp; Outputs'!$H$15</definedName>
    <definedName name="Base_Year">Calculations!$B$4</definedName>
    <definedName name="Crash_Avg">'Inputs &amp; Outputs'!$H$10:$H$15</definedName>
    <definedName name="Crash_Hist_Reset">'CRASH SUM'!$C$10:$E$16</definedName>
    <definedName name="Crash_Hist_Tab">'CRASH SUM'!$C$2:$E$8</definedName>
    <definedName name="CRIS_Titles">'Inputs &amp; Outputs'!$D$10:$D$15</definedName>
    <definedName name="Discount_Rate">Calculations!#REF!</definedName>
    <definedName name="GDP_Deflator_Future">'Assumed Values'!$C$8</definedName>
    <definedName name="Name">'Inputs &amp; Outputs'!$B$6</definedName>
    <definedName name="Possible_Crash_Reductions">Calculations!$J$17:$J$23</definedName>
    <definedName name="Preventable_Crash_History">'Inputs &amp; Outputs'!$E$9:$G$15</definedName>
    <definedName name="_xlnm.Print_Area" localSheetId="6">'Assumed Values'!$B$2:$C$30</definedName>
    <definedName name="_xlnm.Print_Area" localSheetId="5">Calculations!$A$3:$S$37</definedName>
    <definedName name="_xlnm.Print_Area" localSheetId="2">'Emissions Reduction Worksheet'!$A$3:$K$33</definedName>
    <definedName name="_xlnm.Print_Area" localSheetId="3">'Inputs &amp; Outputs'!$A$3:$H$30</definedName>
    <definedName name="_xlnm.Print_Area" localSheetId="0">Instructions!$A$1:$G$12</definedName>
    <definedName name="_xlnm.Print_Area" localSheetId="1">'ITS Delay Worksheet'!$A$3:$J$33</definedName>
    <definedName name="Service_Life">'Inputs &amp; Outputs'!$B$13</definedName>
    <definedName name="Sponsor_ID_Number__CSJ__etc.">'Inputs &amp; Outputs'!$B$8</definedName>
    <definedName name="Value_of_Delay_Savings__2015_____000s">Calculations!$S$4:$S$36</definedName>
    <definedName name="Value_of_Statistical_Life_2015">'Value of Statistical Life'!$F$5:$F$11</definedName>
    <definedName name="Vehicle_Occupancy">Calculations!#REF!</definedName>
    <definedName name="Year_Open_to_Traffic?">'Inputs &amp; Outputs'!$B$11</definedName>
    <definedName name="Years_to_include_in_BCA_Analysis">Calculations!$B$5</definedName>
  </definedNames>
  <calcPr calcId="145621"/>
</workbook>
</file>

<file path=xl/calcChain.xml><?xml version="1.0" encoding="utf-8"?>
<calcChain xmlns="http://schemas.openxmlformats.org/spreadsheetml/2006/main">
  <c r="B19" i="11" l="1"/>
  <c r="B21" i="11" s="1"/>
  <c r="H11" i="11" l="1"/>
  <c r="B5" i="12" l="1"/>
  <c r="I24" i="9"/>
  <c r="H24" i="9"/>
  <c r="G24" i="9"/>
  <c r="F24" i="9"/>
  <c r="E24" i="9"/>
  <c r="D24" i="9"/>
  <c r="E2" i="14" l="1"/>
  <c r="D2" i="14" s="1"/>
  <c r="C2" i="14" s="1"/>
  <c r="C4" i="14" s="1"/>
  <c r="E16" i="12"/>
  <c r="E22" i="12" s="1"/>
  <c r="H12" i="11"/>
  <c r="F16" i="12" s="1"/>
  <c r="F18" i="12" s="1"/>
  <c r="H13" i="11"/>
  <c r="G16" i="12" s="1"/>
  <c r="G21" i="12" s="1"/>
  <c r="H14" i="11"/>
  <c r="H16" i="12" s="1"/>
  <c r="H17" i="12" s="1"/>
  <c r="H15" i="11"/>
  <c r="I16" i="12" s="1"/>
  <c r="I17" i="12" s="1"/>
  <c r="H10" i="11"/>
  <c r="D16" i="12" s="1"/>
  <c r="D18" i="12" s="1"/>
  <c r="E9" i="12"/>
  <c r="E8" i="12"/>
  <c r="E7" i="12"/>
  <c r="O4" i="12" s="1"/>
  <c r="P4" i="12" s="1"/>
  <c r="E5" i="12"/>
  <c r="D19" i="1"/>
  <c r="D20" i="1"/>
  <c r="D18" i="1"/>
  <c r="E4" i="12"/>
  <c r="R4" i="12"/>
  <c r="E6" i="12"/>
  <c r="C6" i="14" l="1"/>
  <c r="D4" i="14"/>
  <c r="C5" i="14"/>
  <c r="D5" i="14"/>
  <c r="E3" i="14"/>
  <c r="C3" i="14"/>
  <c r="G18" i="12"/>
  <c r="I22" i="12"/>
  <c r="G23" i="12"/>
  <c r="F22" i="12"/>
  <c r="D17" i="12"/>
  <c r="H20" i="12"/>
  <c r="D20" i="12"/>
  <c r="H19" i="12"/>
  <c r="H21" i="12"/>
  <c r="H18" i="12"/>
  <c r="I19" i="12"/>
  <c r="I21" i="12"/>
  <c r="F23" i="12"/>
  <c r="E17" i="12"/>
  <c r="G17" i="12"/>
  <c r="F21" i="12"/>
  <c r="D19" i="12"/>
  <c r="G20" i="12"/>
  <c r="E23" i="12"/>
  <c r="E20" i="12"/>
  <c r="D21" i="12"/>
  <c r="D23" i="12"/>
  <c r="D22" i="12"/>
  <c r="F20" i="12"/>
  <c r="E19" i="12"/>
  <c r="H23" i="12"/>
  <c r="E18" i="12"/>
  <c r="H22" i="12"/>
  <c r="G22" i="12"/>
  <c r="I18" i="12"/>
  <c r="E21" i="12"/>
  <c r="I20" i="12"/>
  <c r="F17" i="12"/>
  <c r="G19" i="12"/>
  <c r="F19" i="12"/>
  <c r="I23" i="12"/>
  <c r="C7" i="14"/>
  <c r="E7" i="14"/>
  <c r="C8" i="14"/>
  <c r="E8" i="14"/>
  <c r="E6" i="14"/>
  <c r="D7" i="14"/>
  <c r="E4" i="14"/>
  <c r="D8" i="14"/>
  <c r="E5" i="14"/>
  <c r="D3" i="14"/>
  <c r="D6" i="14"/>
  <c r="N15" i="12"/>
  <c r="N33" i="12"/>
  <c r="N35" i="12"/>
  <c r="N32" i="12"/>
  <c r="N34" i="12"/>
  <c r="N36" i="12"/>
  <c r="N31" i="12"/>
  <c r="N30" i="12"/>
  <c r="N7" i="12"/>
  <c r="N24" i="12"/>
  <c r="N8" i="12"/>
  <c r="N17" i="12"/>
  <c r="N11" i="12"/>
  <c r="N28" i="12"/>
  <c r="N20" i="12"/>
  <c r="N5" i="12"/>
  <c r="N29" i="12"/>
  <c r="N21" i="12"/>
  <c r="N13" i="12"/>
  <c r="N16" i="12"/>
  <c r="N27" i="12"/>
  <c r="N25" i="12"/>
  <c r="N9" i="12"/>
  <c r="N26" i="12"/>
  <c r="N18" i="12"/>
  <c r="N10" i="12"/>
  <c r="N19" i="12"/>
  <c r="N12" i="12"/>
  <c r="N22" i="12"/>
  <c r="N14" i="12"/>
  <c r="N6" i="12"/>
  <c r="N23" i="12"/>
  <c r="E11" i="12"/>
  <c r="E10" i="12"/>
  <c r="E12" i="12"/>
  <c r="M5" i="12"/>
  <c r="R5" i="12" s="1"/>
  <c r="O5" i="12" l="1"/>
  <c r="P5" i="12" s="1"/>
  <c r="J18" i="12"/>
  <c r="J20" i="12"/>
  <c r="J19" i="12"/>
  <c r="J23" i="12"/>
  <c r="J17" i="12"/>
  <c r="J22" i="12"/>
  <c r="J21" i="12"/>
  <c r="M6" i="12"/>
  <c r="R6" i="12" s="1"/>
  <c r="O6" i="12" l="1"/>
  <c r="P6" i="12" s="1"/>
  <c r="M7" i="12"/>
  <c r="R7" i="12" s="1"/>
  <c r="C21" i="2"/>
  <c r="B18" i="5"/>
  <c r="E17" i="5" s="1"/>
  <c r="C22" i="2"/>
  <c r="B19" i="5"/>
  <c r="E18" i="5" s="1"/>
  <c r="G4" i="7"/>
  <c r="I4" i="7" s="1"/>
  <c r="G4" i="5"/>
  <c r="G5" i="5" s="1"/>
  <c r="G6" i="5" s="1"/>
  <c r="G7" i="5" s="1"/>
  <c r="G8" i="5" s="1"/>
  <c r="G9" i="5" s="1"/>
  <c r="G10" i="5" s="1"/>
  <c r="G11" i="5" s="1"/>
  <c r="G12" i="5" s="1"/>
  <c r="G13" i="5" s="1"/>
  <c r="G14" i="5" s="1"/>
  <c r="H4" i="7"/>
  <c r="B18" i="7"/>
  <c r="B17" i="7"/>
  <c r="B16" i="7"/>
  <c r="E17" i="7"/>
  <c r="O6" i="4"/>
  <c r="K6" i="4"/>
  <c r="I6" i="4"/>
  <c r="B5" i="4"/>
  <c r="C5" i="4"/>
  <c r="D5" i="4"/>
  <c r="E5" i="4"/>
  <c r="F5" i="4"/>
  <c r="P5" i="4" s="1"/>
  <c r="C8" i="2" s="1"/>
  <c r="F5" i="9" s="1"/>
  <c r="G5" i="4"/>
  <c r="H5" i="4"/>
  <c r="B6" i="4"/>
  <c r="C6" i="4"/>
  <c r="D6" i="4"/>
  <c r="E6" i="4"/>
  <c r="F6" i="4"/>
  <c r="G6" i="4"/>
  <c r="H6" i="4"/>
  <c r="J5" i="4"/>
  <c r="K5" i="4"/>
  <c r="L5" i="4"/>
  <c r="M5" i="4"/>
  <c r="N5" i="4"/>
  <c r="I5" i="4"/>
  <c r="J6" i="4"/>
  <c r="L6" i="4"/>
  <c r="M6" i="4"/>
  <c r="N6" i="4"/>
  <c r="D12" i="1"/>
  <c r="E11" i="1" s="1"/>
  <c r="E8" i="1"/>
  <c r="E10" i="1"/>
  <c r="J14" i="5" l="1"/>
  <c r="G15" i="5"/>
  <c r="H14" i="5"/>
  <c r="E4" i="1"/>
  <c r="H5" i="1" s="1"/>
  <c r="G5" i="7"/>
  <c r="E6" i="1"/>
  <c r="E5" i="1"/>
  <c r="H4" i="1" s="1"/>
  <c r="H10" i="5"/>
  <c r="E12" i="1"/>
  <c r="E9" i="1"/>
  <c r="H6" i="1" s="1"/>
  <c r="E7" i="1"/>
  <c r="O7" i="12"/>
  <c r="P7" i="12" s="1"/>
  <c r="D5" i="6"/>
  <c r="C20" i="2" s="1"/>
  <c r="B21" i="5" s="1"/>
  <c r="F7" i="9"/>
  <c r="F6" i="9"/>
  <c r="Q4" i="12" s="1"/>
  <c r="F9" i="9"/>
  <c r="F11" i="9"/>
  <c r="C11" i="2" s="1"/>
  <c r="F10" i="9"/>
  <c r="F8" i="9"/>
  <c r="M8" i="12"/>
  <c r="R8" i="12" s="1"/>
  <c r="H6" i="5"/>
  <c r="H11" i="5"/>
  <c r="D4" i="6"/>
  <c r="C19" i="2" s="1"/>
  <c r="B20" i="5" s="1"/>
  <c r="J5" i="5"/>
  <c r="J13" i="5"/>
  <c r="J11" i="5"/>
  <c r="J10" i="5"/>
  <c r="J9" i="5"/>
  <c r="J4" i="5"/>
  <c r="K4" i="5" s="1"/>
  <c r="J12" i="5"/>
  <c r="J8" i="5"/>
  <c r="J7" i="5"/>
  <c r="J6" i="5"/>
  <c r="H12" i="5"/>
  <c r="H4" i="5"/>
  <c r="H13" i="5"/>
  <c r="H5" i="5"/>
  <c r="H7" i="5"/>
  <c r="H8" i="5"/>
  <c r="H9" i="5"/>
  <c r="S4" i="12" l="1"/>
  <c r="Q5" i="12"/>
  <c r="S5" i="12" s="1"/>
  <c r="H7" i="1"/>
  <c r="C21" i="1"/>
  <c r="D21" i="1"/>
  <c r="C15" i="2" s="1"/>
  <c r="B19" i="7" s="1"/>
  <c r="G6" i="7"/>
  <c r="H5" i="7"/>
  <c r="I5" i="7" s="1"/>
  <c r="J15" i="5"/>
  <c r="G16" i="5"/>
  <c r="H15" i="5"/>
  <c r="O8" i="12"/>
  <c r="O9" i="12" s="1"/>
  <c r="K10" i="5"/>
  <c r="K12" i="5"/>
  <c r="K15" i="5"/>
  <c r="K8" i="5"/>
  <c r="K14" i="5"/>
  <c r="K7" i="5"/>
  <c r="K5" i="5"/>
  <c r="K6" i="5"/>
  <c r="K13" i="5"/>
  <c r="K11" i="5"/>
  <c r="K9" i="5"/>
  <c r="I13" i="5"/>
  <c r="M9" i="12"/>
  <c r="R9" i="12" s="1"/>
  <c r="I7" i="5"/>
  <c r="I8" i="5"/>
  <c r="I10" i="5"/>
  <c r="I9" i="5"/>
  <c r="I14" i="5"/>
  <c r="I15" i="5"/>
  <c r="I12" i="5"/>
  <c r="I5" i="5"/>
  <c r="I6" i="5"/>
  <c r="I11" i="5"/>
  <c r="I4" i="5"/>
  <c r="P8" i="12" l="1"/>
  <c r="Q6" i="12"/>
  <c r="S6" i="12" s="1"/>
  <c r="I6" i="7"/>
  <c r="H6" i="7"/>
  <c r="G7" i="7"/>
  <c r="H16" i="5"/>
  <c r="J16" i="5"/>
  <c r="K16" i="5" s="1"/>
  <c r="G17" i="5"/>
  <c r="O10" i="12"/>
  <c r="P9" i="12"/>
  <c r="M10" i="12"/>
  <c r="J6" i="7"/>
  <c r="J5" i="7"/>
  <c r="J4" i="7"/>
  <c r="Q7" i="12" l="1"/>
  <c r="S7" i="12" s="1"/>
  <c r="H7" i="7"/>
  <c r="I7" i="7" s="1"/>
  <c r="J7" i="7" s="1"/>
  <c r="G8" i="7"/>
  <c r="H17" i="5"/>
  <c r="I17" i="5" s="1"/>
  <c r="J17" i="5"/>
  <c r="K17" i="5" s="1"/>
  <c r="G18" i="5"/>
  <c r="I16" i="5"/>
  <c r="R10" i="12"/>
  <c r="O11" i="12"/>
  <c r="P10" i="12"/>
  <c r="M11" i="12"/>
  <c r="B11" i="7"/>
  <c r="B12" i="7" s="1"/>
  <c r="Q8" i="12" l="1"/>
  <c r="S8" i="12" s="1"/>
  <c r="G19" i="5"/>
  <c r="H18" i="5"/>
  <c r="J18" i="5"/>
  <c r="K18" i="5" s="1"/>
  <c r="H8" i="7"/>
  <c r="I8" i="7"/>
  <c r="J8" i="7" s="1"/>
  <c r="G9" i="7"/>
  <c r="R11" i="12"/>
  <c r="P11" i="12"/>
  <c r="O12" i="12"/>
  <c r="M12" i="12"/>
  <c r="Q9" i="12" l="1"/>
  <c r="S9" i="12" s="1"/>
  <c r="I18" i="5"/>
  <c r="G20" i="5"/>
  <c r="H19" i="5"/>
  <c r="I19" i="5" s="1"/>
  <c r="J19" i="5"/>
  <c r="K19" i="5" s="1"/>
  <c r="G10" i="7"/>
  <c r="H9" i="7"/>
  <c r="I9" i="7" s="1"/>
  <c r="J9" i="7" s="1"/>
  <c r="R12" i="12"/>
  <c r="O13" i="12"/>
  <c r="P12" i="12"/>
  <c r="M13" i="12"/>
  <c r="Q10" i="12" l="1"/>
  <c r="S10" i="12" s="1"/>
  <c r="G21" i="5"/>
  <c r="H20" i="5"/>
  <c r="I20" i="5" s="1"/>
  <c r="J20" i="5"/>
  <c r="K20" i="5" s="1"/>
  <c r="G11" i="7"/>
  <c r="H10" i="7"/>
  <c r="I10" i="7"/>
  <c r="J10" i="7" s="1"/>
  <c r="R13" i="12"/>
  <c r="O14" i="12"/>
  <c r="P13" i="12"/>
  <c r="M14" i="12"/>
  <c r="Q11" i="12" l="1"/>
  <c r="S11" i="12" s="1"/>
  <c r="H11" i="7"/>
  <c r="I11" i="7" s="1"/>
  <c r="J11" i="7" s="1"/>
  <c r="G12" i="7"/>
  <c r="H21" i="5"/>
  <c r="J21" i="5"/>
  <c r="K21" i="5" s="1"/>
  <c r="G22" i="5"/>
  <c r="R14" i="12"/>
  <c r="O15" i="12"/>
  <c r="P14" i="12"/>
  <c r="M15" i="12"/>
  <c r="Q12" i="12" l="1"/>
  <c r="Q13" i="12" s="1"/>
  <c r="S13" i="12" s="1"/>
  <c r="J22" i="5"/>
  <c r="K22" i="5" s="1"/>
  <c r="G23" i="5"/>
  <c r="H22" i="5"/>
  <c r="I22" i="5" s="1"/>
  <c r="I21" i="5"/>
  <c r="H12" i="7"/>
  <c r="I12" i="7"/>
  <c r="J12" i="7" s="1"/>
  <c r="G13" i="7"/>
  <c r="R15" i="12"/>
  <c r="O16" i="12"/>
  <c r="P15" i="12"/>
  <c r="M16" i="12"/>
  <c r="Q14" i="12" l="1"/>
  <c r="S14" i="12" s="1"/>
  <c r="S12" i="12"/>
  <c r="J23" i="5"/>
  <c r="K23" i="5" s="1"/>
  <c r="G24" i="5"/>
  <c r="H23" i="5"/>
  <c r="I13" i="7"/>
  <c r="J13" i="7" s="1"/>
  <c r="G14" i="7"/>
  <c r="H13" i="7"/>
  <c r="Q15" i="12"/>
  <c r="S15" i="12" s="1"/>
  <c r="R16" i="12"/>
  <c r="O17" i="12"/>
  <c r="P16" i="12"/>
  <c r="M17" i="12"/>
  <c r="H14" i="7" l="1"/>
  <c r="I14" i="7" s="1"/>
  <c r="J14" i="7" s="1"/>
  <c r="G15" i="7"/>
  <c r="I23" i="5"/>
  <c r="H24" i="5"/>
  <c r="I24" i="5" s="1"/>
  <c r="J24" i="5"/>
  <c r="K24" i="5" s="1"/>
  <c r="G25" i="5"/>
  <c r="Q16" i="12"/>
  <c r="S16" i="12" s="1"/>
  <c r="R17" i="12"/>
  <c r="O18" i="12"/>
  <c r="P17" i="12"/>
  <c r="M18" i="12"/>
  <c r="H25" i="5" l="1"/>
  <c r="I25" i="5" s="1"/>
  <c r="J25" i="5"/>
  <c r="K25" i="5" s="1"/>
  <c r="G26" i="5"/>
  <c r="B11" i="5"/>
  <c r="B12" i="5" s="1"/>
  <c r="H15" i="7"/>
  <c r="I15" i="7" s="1"/>
  <c r="J15" i="7" s="1"/>
  <c r="G16" i="7"/>
  <c r="Q17" i="12"/>
  <c r="S17" i="12" s="1"/>
  <c r="R18" i="12"/>
  <c r="O19" i="12"/>
  <c r="P18" i="12"/>
  <c r="M19" i="12"/>
  <c r="H16" i="7" l="1"/>
  <c r="I16" i="7" s="1"/>
  <c r="J16" i="7" s="1"/>
  <c r="G17" i="7"/>
  <c r="G27" i="5"/>
  <c r="H26" i="5"/>
  <c r="I26" i="5" s="1"/>
  <c r="J26" i="5"/>
  <c r="K26" i="5" s="1"/>
  <c r="Q18" i="12"/>
  <c r="S18" i="12" s="1"/>
  <c r="R19" i="12"/>
  <c r="O20" i="12"/>
  <c r="P19" i="12"/>
  <c r="M20" i="12"/>
  <c r="G18" i="7" l="1"/>
  <c r="H17" i="7"/>
  <c r="I17" i="7" s="1"/>
  <c r="J17" i="7" s="1"/>
  <c r="G28" i="5"/>
  <c r="H27" i="5"/>
  <c r="I27" i="5" s="1"/>
  <c r="J27" i="5"/>
  <c r="K27" i="5" s="1"/>
  <c r="Q19" i="12"/>
  <c r="S19" i="12" s="1"/>
  <c r="R20" i="12"/>
  <c r="O21" i="12"/>
  <c r="P20" i="12"/>
  <c r="M21" i="12"/>
  <c r="G29" i="5" l="1"/>
  <c r="H28" i="5"/>
  <c r="I28" i="5" s="1"/>
  <c r="J28" i="5"/>
  <c r="K28" i="5" s="1"/>
  <c r="G19" i="7"/>
  <c r="H18" i="7"/>
  <c r="I18" i="7"/>
  <c r="J18" i="7" s="1"/>
  <c r="Q20" i="12"/>
  <c r="S20" i="12" s="1"/>
  <c r="R21" i="12"/>
  <c r="O22" i="12"/>
  <c r="P21" i="12"/>
  <c r="M22" i="12"/>
  <c r="H19" i="7" l="1"/>
  <c r="G20" i="7"/>
  <c r="I19" i="7"/>
  <c r="J19" i="7" s="1"/>
  <c r="H29" i="5"/>
  <c r="J29" i="5"/>
  <c r="K29" i="5" s="1"/>
  <c r="Q21" i="12"/>
  <c r="S21" i="12" s="1"/>
  <c r="R22" i="12"/>
  <c r="O23" i="12"/>
  <c r="P22" i="12"/>
  <c r="M23" i="12"/>
  <c r="I29" i="5" l="1"/>
  <c r="B13" i="5"/>
  <c r="H20" i="7"/>
  <c r="I20" i="7"/>
  <c r="J20" i="7" s="1"/>
  <c r="G21" i="7"/>
  <c r="Q22" i="12"/>
  <c r="R23" i="12"/>
  <c r="O24" i="12"/>
  <c r="P23" i="12"/>
  <c r="M24" i="12"/>
  <c r="Q23" i="12" l="1"/>
  <c r="S23" i="12" s="1"/>
  <c r="G22" i="7"/>
  <c r="H21" i="7"/>
  <c r="I21" i="7" s="1"/>
  <c r="J21" i="7" s="1"/>
  <c r="S22" i="12"/>
  <c r="R24" i="12"/>
  <c r="O25" i="12"/>
  <c r="P24" i="12"/>
  <c r="M25" i="12"/>
  <c r="Q24" i="12" l="1"/>
  <c r="S24" i="12" s="1"/>
  <c r="H22" i="7"/>
  <c r="I22" i="7"/>
  <c r="J22" i="7" s="1"/>
  <c r="G23" i="7"/>
  <c r="R25" i="12"/>
  <c r="O26" i="12"/>
  <c r="P25" i="12"/>
  <c r="M26" i="12"/>
  <c r="Q25" i="12" l="1"/>
  <c r="S25" i="12" s="1"/>
  <c r="H23" i="7"/>
  <c r="I23" i="7"/>
  <c r="J23" i="7" s="1"/>
  <c r="G24" i="7"/>
  <c r="R26" i="12"/>
  <c r="O27" i="12"/>
  <c r="P26" i="12"/>
  <c r="M27" i="12"/>
  <c r="Q26" i="12" l="1"/>
  <c r="S26" i="12" s="1"/>
  <c r="H24" i="7"/>
  <c r="I24" i="7"/>
  <c r="J24" i="7" s="1"/>
  <c r="G25" i="7"/>
  <c r="R27" i="12"/>
  <c r="O28" i="12"/>
  <c r="P27" i="12"/>
  <c r="M28" i="12"/>
  <c r="Q27" i="12" l="1"/>
  <c r="S27" i="12" s="1"/>
  <c r="G26" i="7"/>
  <c r="H25" i="7"/>
  <c r="I25" i="7" s="1"/>
  <c r="J25" i="7" s="1"/>
  <c r="R28" i="12"/>
  <c r="O29" i="12"/>
  <c r="P28" i="12"/>
  <c r="M29" i="12"/>
  <c r="Q28" i="12" l="1"/>
  <c r="S28" i="12" s="1"/>
  <c r="G27" i="7"/>
  <c r="H26" i="7"/>
  <c r="I26" i="7" s="1"/>
  <c r="J26" i="7" s="1"/>
  <c r="P29" i="12"/>
  <c r="O30" i="12"/>
  <c r="M30" i="12"/>
  <c r="R29" i="12"/>
  <c r="Q29" i="12" l="1"/>
  <c r="S29" i="12" s="1"/>
  <c r="G28" i="7"/>
  <c r="H27" i="7"/>
  <c r="I27" i="7" s="1"/>
  <c r="J27" i="7" s="1"/>
  <c r="P30" i="12"/>
  <c r="O31" i="12"/>
  <c r="R30" i="12"/>
  <c r="M31" i="12"/>
  <c r="M32" i="12" s="1"/>
  <c r="Q30" i="12" l="1"/>
  <c r="S30" i="12" s="1"/>
  <c r="H28" i="7"/>
  <c r="I28" i="7"/>
  <c r="J28" i="7" s="1"/>
  <c r="G29" i="7"/>
  <c r="M33" i="12"/>
  <c r="R32" i="12"/>
  <c r="P31" i="12"/>
  <c r="O32" i="12"/>
  <c r="R31" i="12"/>
  <c r="Q31" i="12" l="1"/>
  <c r="S31" i="12" s="1"/>
  <c r="H29" i="7"/>
  <c r="I29" i="7" s="1"/>
  <c r="J29" i="7" s="1"/>
  <c r="M34" i="12"/>
  <c r="R33" i="12"/>
  <c r="P32" i="12"/>
  <c r="O33" i="12"/>
  <c r="Q32" i="12" l="1"/>
  <c r="S32" i="12" s="1"/>
  <c r="R34" i="12"/>
  <c r="M35" i="12"/>
  <c r="P33" i="12"/>
  <c r="O34" i="12"/>
  <c r="Q33" i="12" l="1"/>
  <c r="S33" i="12" s="1"/>
  <c r="M36" i="12"/>
  <c r="R35" i="12"/>
  <c r="P34" i="12"/>
  <c r="O35" i="12"/>
  <c r="Q34" i="12" l="1"/>
  <c r="S34" i="12" s="1"/>
  <c r="R36" i="12"/>
  <c r="P35" i="12"/>
  <c r="O36" i="12"/>
  <c r="P36" i="12" s="1"/>
  <c r="Q35" i="12" l="1"/>
  <c r="S35" i="12" s="1"/>
  <c r="Q36" i="12"/>
  <c r="S36" i="12" s="1"/>
  <c r="B30" i="11" l="1"/>
  <c r="B29" i="11"/>
</calcChain>
</file>

<file path=xl/sharedStrings.xml><?xml version="1.0" encoding="utf-8"?>
<sst xmlns="http://schemas.openxmlformats.org/spreadsheetml/2006/main" count="1305" uniqueCount="369">
  <si>
    <t>Home</t>
  </si>
  <si>
    <t>Work</t>
  </si>
  <si>
    <t>Non-Work</t>
  </si>
  <si>
    <t>Non-Home</t>
  </si>
  <si>
    <t>Truck</t>
  </si>
  <si>
    <t>Taxi</t>
  </si>
  <si>
    <t>External Auto</t>
  </si>
  <si>
    <t>Personal</t>
  </si>
  <si>
    <t>Business</t>
  </si>
  <si>
    <t>Weighted Average:</t>
  </si>
  <si>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</si>
  <si>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</si>
  <si>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</si>
  <si>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</si>
  <si>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</si>
  <si>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</si>
  <si>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</si>
  <si>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</si>
  <si>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</si>
  <si>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</si>
  <si>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</si>
  <si>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</si>
  <si>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</si>
  <si>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</si>
  <si>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</si>
  <si>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</si>
  <si>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</si>
  <si>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</si>
  <si>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</si>
  <si>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</si>
  <si>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</si>
  <si>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</si>
  <si>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</si>
  <si>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</si>
  <si>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</si>
  <si>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</si>
  <si>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</si>
  <si>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</si>
  <si>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</si>
  <si>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GDP Deflators</t>
  </si>
  <si>
    <t>Bureau of Economic Analysis, See Table 1.1.9. Implicit Price Deflators for Gross Domestic Product</t>
  </si>
  <si>
    <t>http://www.bea.gov/iTable/iTable.cfm?ReqID=9&amp;step=1</t>
  </si>
  <si>
    <r>
      <t xml:space="preserve"> </t>
    </r>
    <r>
      <rPr>
        <b/>
        <sz val="9"/>
        <color indexed="8"/>
        <rFont val="Calibri"/>
        <family val="2"/>
        <scheme val="minor"/>
      </rPr>
      <t>Gross domestic product</t>
    </r>
    <r>
      <rPr>
        <sz val="9"/>
        <rFont val="Calibri"/>
        <family val="2"/>
        <scheme val="minor"/>
      </rPr>
      <t xml:space="preserve"> </t>
    </r>
  </si>
  <si>
    <r>
      <t xml:space="preserve"> </t>
    </r>
    <r>
      <rPr>
        <b/>
        <sz val="9"/>
        <color indexed="8"/>
        <rFont val="Calibri"/>
        <family val="2"/>
        <scheme val="minor"/>
      </rPr>
      <t>Deflator to Next Year</t>
    </r>
    <r>
      <rPr>
        <sz val="9"/>
        <color theme="1"/>
        <rFont val="Calibri"/>
        <family val="2"/>
        <scheme val="minor"/>
      </rPr>
      <t xml:space="preserve"> </t>
    </r>
  </si>
  <si>
    <r>
      <t xml:space="preserve"> </t>
    </r>
    <r>
      <rPr>
        <b/>
        <sz val="9"/>
        <color indexed="8"/>
        <rFont val="Calibri"/>
        <family val="2"/>
        <scheme val="minor"/>
      </rPr>
      <t>Deflator to 2012</t>
    </r>
  </si>
  <si>
    <t>See "GDP Deflators" tab</t>
  </si>
  <si>
    <t>Applicable Project Life</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</si>
  <si>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</si>
  <si>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</si>
  <si>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</si>
  <si>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</si>
  <si>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</si>
  <si>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</si>
  <si>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</si>
  <si>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</si>
  <si>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</si>
  <si>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</si>
  <si>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</si>
  <si>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</si>
  <si>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</si>
  <si>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</si>
  <si>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</si>
  <si>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</si>
  <si>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</si>
  <si>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</si>
  <si>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</si>
  <si>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2013 $ per person-hour)</t>
  </si>
  <si>
    <t>Discounted Delay Benefits (2015 $, '000s)</t>
  </si>
  <si>
    <t>Year Open to Traffic?</t>
  </si>
  <si>
    <t>2040 Volume</t>
  </si>
  <si>
    <t>2040 Capacity</t>
  </si>
  <si>
    <t>Total Cost (2015 $, '000s)</t>
  </si>
  <si>
    <t>Federal Funding Req. (2015 $, '000s)</t>
  </si>
  <si>
    <t>Value of Delay Savings (2013 $, '000s)</t>
  </si>
  <si>
    <t>Person Trips by Purpose, H-GAC Regional Travel Demand Model (2040 RTP - 2010 Census Data &amp; Household Survey)</t>
  </si>
  <si>
    <t>Cargo</t>
  </si>
  <si>
    <t>Service</t>
  </si>
  <si>
    <t>$ / metric ton ($2013)</t>
  </si>
  <si>
    <t>Value of VOC Savings (2013 $, '000s)</t>
  </si>
  <si>
    <t>Value of NOx Savings (2013 $, '000s)</t>
  </si>
  <si>
    <t>Discounted Emissions Benefits (2015 $, '000s)</t>
  </si>
  <si>
    <t>Annualized Cost Effectiveness (2015 $, '000s/tonne)</t>
  </si>
  <si>
    <t>10 Yr Avg</t>
  </si>
  <si>
    <t>2015 $ per person-hour)</t>
  </si>
  <si>
    <t>Value of Travel Time (VoTT), 2015 $</t>
  </si>
  <si>
    <t>$ / metric ton ($2015)</t>
  </si>
  <si>
    <t>Volatile Organic Compounds (VOCs), $ / metric ton (2015 $)</t>
  </si>
  <si>
    <t>Nitrogen oxides (NOx), $ / metric ton (2015 $)</t>
  </si>
  <si>
    <t>Value of Delay Savings (2015 $, '000s)</t>
  </si>
  <si>
    <t>Years to include in BCA Analysis</t>
  </si>
  <si>
    <t>2040 V/C Ratio</t>
  </si>
  <si>
    <t>3% and 7%</t>
  </si>
  <si>
    <t>Safety Analysis Values:</t>
  </si>
  <si>
    <t>Value of Statistical Life (VSL), 2015 $</t>
  </si>
  <si>
    <t>AIS Level</t>
  </si>
  <si>
    <t>Severity</t>
  </si>
  <si>
    <t>Fraction of VSL</t>
  </si>
  <si>
    <t>Unit value ($2013)</t>
  </si>
  <si>
    <t>AIS 1</t>
  </si>
  <si>
    <t>Minor</t>
  </si>
  <si>
    <t>AIS 2</t>
  </si>
  <si>
    <t>Moderate</t>
  </si>
  <si>
    <t>AIS 3</t>
  </si>
  <si>
    <t>Serious</t>
  </si>
  <si>
    <t>AIS 4</t>
  </si>
  <si>
    <t>Severe</t>
  </si>
  <si>
    <t>AIS 5</t>
  </si>
  <si>
    <t>Critical</t>
  </si>
  <si>
    <t>AIS 6</t>
  </si>
  <si>
    <t>Unsurvivable</t>
  </si>
  <si>
    <t>Unit value ($2015)</t>
  </si>
  <si>
    <t>Values for non-fatal injuries provided in "Value of Statistical Life" tab.</t>
  </si>
  <si>
    <t>2025 Volume</t>
  </si>
  <si>
    <t>2025 Capacity</t>
  </si>
  <si>
    <t>2025 V/C Ratio</t>
  </si>
  <si>
    <t>2018 V/C Ratio</t>
  </si>
  <si>
    <t>2018-2025 Demand Growth</t>
  </si>
  <si>
    <t>2025-2040 Demand Growth</t>
  </si>
  <si>
    <t>Application ID Number:</t>
  </si>
  <si>
    <t>Sponsor ID Number (CSJ, etc.):</t>
  </si>
  <si>
    <t>Daily Travel Demand</t>
  </si>
  <si>
    <t>2018-2040 Demand Growth</t>
  </si>
  <si>
    <t>2018-2025 V/C Growth</t>
  </si>
  <si>
    <t>2025-2040 V/C Growth</t>
  </si>
  <si>
    <t>2018-2040 V/C Growth</t>
  </si>
  <si>
    <t>Use in Analysis?</t>
  </si>
  <si>
    <t>Demand Growth</t>
  </si>
  <si>
    <t>2018 Volume</t>
  </si>
  <si>
    <t>2018 Capacity</t>
  </si>
  <si>
    <t>Benefit Cap</t>
  </si>
  <si>
    <t>Real wage growth rate</t>
  </si>
  <si>
    <t>n/a</t>
  </si>
  <si>
    <t>2015-2018 TIP Call For Projects - Benefit-Cost Analysis Assumptions*</t>
  </si>
  <si>
    <t>Future Capital Costs Nominal-to-Real Conversion Rate</t>
  </si>
  <si>
    <t>Historic Capital Costs Nominal-to-Real Conversion Rates</t>
  </si>
  <si>
    <t>Value of Travel Time, TIGER BCA Resource Guide (2014)</t>
  </si>
  <si>
    <t>Value of Injuries, TIGER BCA Resource Guide (2014)</t>
  </si>
  <si>
    <t>Benefit Results</t>
  </si>
  <si>
    <t>INPUTS</t>
  </si>
  <si>
    <t>OUTPUTS</t>
  </si>
  <si>
    <t>Mon</t>
  </si>
  <si>
    <t>N</t>
  </si>
  <si>
    <t>Y</t>
  </si>
  <si>
    <t>RD</t>
  </si>
  <si>
    <t>Sat</t>
  </si>
  <si>
    <t>Death_Cnt</t>
  </si>
  <si>
    <t>Tot_Injry_Cnt</t>
  </si>
  <si>
    <t>Unkn_Injry_Cnt</t>
  </si>
  <si>
    <t>Non_Injry_Cnt</t>
  </si>
  <si>
    <t>Poss_Injry_Cnt</t>
  </si>
  <si>
    <t>Nonincap_Injry_Cnt</t>
  </si>
  <si>
    <t>Incap_Injry_Cnt</t>
  </si>
  <si>
    <t>Yield</t>
  </si>
  <si>
    <t>Standstop</t>
  </si>
  <si>
    <t>WDCode_ID</t>
  </si>
  <si>
    <t>Poscrossing_ID</t>
  </si>
  <si>
    <t>RRCo</t>
  </si>
  <si>
    <t>CrossingNumber</t>
  </si>
  <si>
    <t>Bridge_IR_Struct_Func_ID</t>
  </si>
  <si>
    <t>Bridge_Rte_Struct_Func_ID</t>
  </si>
  <si>
    <t>Bridge_Dir_Of_Traffic_ID</t>
  </si>
  <si>
    <t>Deck_Width</t>
  </si>
  <si>
    <t>Roadway_Width</t>
  </si>
  <si>
    <t>Culvert_Type_ID</t>
  </si>
  <si>
    <t>Bridge_Srvc_Type_Under_ID</t>
  </si>
  <si>
    <t>Bridge_Srvc_Type_On_ID</t>
  </si>
  <si>
    <t>Bridge_Loading_In_1000_Lbs</t>
  </si>
  <si>
    <t>Bridge_Loading_Type_ID</t>
  </si>
  <si>
    <t>Bridge_Median_ID</t>
  </si>
  <si>
    <t>Approach_Width</t>
  </si>
  <si>
    <t>I_R_Min_Vert_Clear</t>
  </si>
  <si>
    <t>Structure_Number</t>
  </si>
  <si>
    <t>Feature_Crossed</t>
  </si>
  <si>
    <t>Dd_Degr</t>
  </si>
  <si>
    <t>Delta_Left_Right_ID</t>
  </si>
  <si>
    <t>Cd_Degr</t>
  </si>
  <si>
    <t>Curve_Lngth</t>
  </si>
  <si>
    <t>Curve_Type_ID</t>
  </si>
  <si>
    <t>Trk_Aadt_Pct</t>
  </si>
  <si>
    <t>Pct_Combo_Trk_Adt</t>
  </si>
  <si>
    <t>Pct_Single_Trk_Adt</t>
  </si>
  <si>
    <t>Adt_Adj_Curnt_Amt</t>
  </si>
  <si>
    <t>Adt_Curnt_Year</t>
  </si>
  <si>
    <t>Adt_Curnt_Amt</t>
  </si>
  <si>
    <t>Func_Sys_ID</t>
  </si>
  <si>
    <t>Rural_Urban_Type_ID</t>
  </si>
  <si>
    <t>Median_Width</t>
  </si>
  <si>
    <t>Median_Type_ID</t>
  </si>
  <si>
    <t>Shldr_Use_Right_ID</t>
  </si>
  <si>
    <t>Shldr_Width_Right</t>
  </si>
  <si>
    <t>Shldr_Type_Right_ID</t>
  </si>
  <si>
    <t>Shldr_Use_Left_ID</t>
  </si>
  <si>
    <t>Shldr_Width_Left</t>
  </si>
  <si>
    <t>Shldr_Type_Left_ID</t>
  </si>
  <si>
    <t>Curb_Type_Right_ID</t>
  </si>
  <si>
    <t>Curb_Type_Left_ID</t>
  </si>
  <si>
    <t>Surf_Type_ID</t>
  </si>
  <si>
    <t>Surf_Width</t>
  </si>
  <si>
    <t>Roadbed_Width</t>
  </si>
  <si>
    <t>Row_Width_Usual</t>
  </si>
  <si>
    <t>Nbr_Of_Lane</t>
  </si>
  <si>
    <t>Base_Type_ID</t>
  </si>
  <si>
    <t>Hp_Median_Width</t>
  </si>
  <si>
    <t>Hp_Shldr_Right</t>
  </si>
  <si>
    <t>Hp_Shldr_Left</t>
  </si>
  <si>
    <t>Hwy_Dsgn_Hrt_ID</t>
  </si>
  <si>
    <t>Hwy_Dsgn_Lane_ID</t>
  </si>
  <si>
    <t>Day_of_Week</t>
  </si>
  <si>
    <t>Located_Fl</t>
  </si>
  <si>
    <t>Pop_Group_ID</t>
  </si>
  <si>
    <t>Crash_Sev_ID</t>
  </si>
  <si>
    <t>Rural_Fl</t>
  </si>
  <si>
    <t>Onsys_Fl</t>
  </si>
  <si>
    <t>Txdot_Rptable_Fl</t>
  </si>
  <si>
    <t>Milepoint_2</t>
  </si>
  <si>
    <t>Section_2</t>
  </si>
  <si>
    <t>Control_2</t>
  </si>
  <si>
    <t>Street_Nbr_2</t>
  </si>
  <si>
    <t>Street_Name_2</t>
  </si>
  <si>
    <t>Hwy_Sfx_2</t>
  </si>
  <si>
    <t>Hwy_Nbr_2</t>
  </si>
  <si>
    <t>Hwy_Sys_2</t>
  </si>
  <si>
    <t>Ref_Mark_Displ</t>
  </si>
  <si>
    <t>Ref_Mark_Nbr</t>
  </si>
  <si>
    <t>Milepoint</t>
  </si>
  <si>
    <t>Section</t>
  </si>
  <si>
    <t>Control</t>
  </si>
  <si>
    <t>Street_Nbr</t>
  </si>
  <si>
    <t>Street_Name</t>
  </si>
  <si>
    <t>Dfo</t>
  </si>
  <si>
    <t>Hwy_Sfx</t>
  </si>
  <si>
    <t>Hwy_Nbr</t>
  </si>
  <si>
    <t>Hwy_Sys</t>
  </si>
  <si>
    <t>Longitude</t>
  </si>
  <si>
    <t>Latitude</t>
  </si>
  <si>
    <t>City_ID</t>
  </si>
  <si>
    <t>Cnty_ID</t>
  </si>
  <si>
    <t>Phys_Featr_2_ID</t>
  </si>
  <si>
    <t>Phys_Featr_1_ID</t>
  </si>
  <si>
    <t>Road_Relat_ID</t>
  </si>
  <si>
    <t>Road_Cls_ID</t>
  </si>
  <si>
    <t>Road_Part_Adj_ID</t>
  </si>
  <si>
    <t>Othr_Factr_ID</t>
  </si>
  <si>
    <t>Obj_Struck_ID</t>
  </si>
  <si>
    <t>FHE_Collsn_ID</t>
  </si>
  <si>
    <t>Intrsct_Relat_ID</t>
  </si>
  <si>
    <t>Harm_Evnt_ID</t>
  </si>
  <si>
    <t>Bridge_Detail_ID</t>
  </si>
  <si>
    <t>Investigat_Agency_ID</t>
  </si>
  <si>
    <t>Traffic_Cntl_ID</t>
  </si>
  <si>
    <t>Surf_Cond_ID</t>
  </si>
  <si>
    <t>Road_Algn_ID</t>
  </si>
  <si>
    <t>Road_Type_ID</t>
  </si>
  <si>
    <t>Entr_Road_ID</t>
  </si>
  <si>
    <t>Light_Cond_ID</t>
  </si>
  <si>
    <t>Wthr_Cond_ID</t>
  </si>
  <si>
    <t>Rpt_CrossingNumber</t>
  </si>
  <si>
    <t>Rpt_Ref_Mark_Nbr</t>
  </si>
  <si>
    <t>Rpt_Ref_Mark_Dir</t>
  </si>
  <si>
    <t>Rpt_Ref_Mark_Dist_Uom</t>
  </si>
  <si>
    <t>Rpt_Ref_Mark_Offset_Amt</t>
  </si>
  <si>
    <t>Rpt_Sec_Street_Sfx</t>
  </si>
  <si>
    <t>Rpt_Sec_Street_Name</t>
  </si>
  <si>
    <t>Rpt_Sec_Street_Pfx</t>
  </si>
  <si>
    <t>Rpt_Sec_Block_Num</t>
  </si>
  <si>
    <t>Rpt_Sec_Road_Part_ID</t>
  </si>
  <si>
    <t>Rpt_Sec_Hwy_Sfx</t>
  </si>
  <si>
    <t>Rpt_Sec_Hwy_Num</t>
  </si>
  <si>
    <t>Rpt_Sec_Rdwy_Sys_ID</t>
  </si>
  <si>
    <t>At_Intrsct_Fl</t>
  </si>
  <si>
    <t>Road_Constr_Zone_Wrkr_Fl</t>
  </si>
  <si>
    <t>Road_Constr_Zone_Fl</t>
  </si>
  <si>
    <t>Crash_Speed_Limit</t>
  </si>
  <si>
    <t>Toll_Road_Fl</t>
  </si>
  <si>
    <t>Private_Dr_Fl</t>
  </si>
  <si>
    <t>Rpt_Street_Sfx</t>
  </si>
  <si>
    <t>Rpt_Street_Name</t>
  </si>
  <si>
    <t>Rpt_Street_Pfx</t>
  </si>
  <si>
    <t>Rpt_Block_Num</t>
  </si>
  <si>
    <t>Rpt_Road_Part_ID</t>
  </si>
  <si>
    <t>Rpt_Hwy_Sfx</t>
  </si>
  <si>
    <t>Rpt_Hwy_Num</t>
  </si>
  <si>
    <t>Rpt_Rdwy_Sys_ID</t>
  </si>
  <si>
    <t>Rpt_Longitude</t>
  </si>
  <si>
    <t>Rpt_Latitude</t>
  </si>
  <si>
    <t>Thousand_Damage_Fl</t>
  </si>
  <si>
    <t>Rpt_Outside_City_Limit_Fl</t>
  </si>
  <si>
    <t>Rpt_City_ID</t>
  </si>
  <si>
    <t>Rpt_CRIS_Cnty_ID</t>
  </si>
  <si>
    <t>Case_ID</t>
  </si>
  <si>
    <t>Crash_Time</t>
  </si>
  <si>
    <t>Crash_Date</t>
  </si>
  <si>
    <t>Active_School_Zone_Fl</t>
  </si>
  <si>
    <t>Amend_Supp_Fl</t>
  </si>
  <si>
    <t>Medical_Advisory_Fl</t>
  </si>
  <si>
    <t>Rr_Relat_Fl</t>
  </si>
  <si>
    <t>Schl_Bus_Fl</t>
  </si>
  <si>
    <t>Cmv_Involv_Fl</t>
  </si>
  <si>
    <t>Crash_Fatal_Fl</t>
  </si>
  <si>
    <t>Crash_ID</t>
  </si>
  <si>
    <t>Preventable Crash History</t>
  </si>
  <si>
    <t>Year 1</t>
  </si>
  <si>
    <t>Year 3</t>
  </si>
  <si>
    <t>Year 2</t>
  </si>
  <si>
    <t>Average</t>
  </si>
  <si>
    <t>Discounted Safety Benefits @ 7% (2015 $, '000s)</t>
  </si>
  <si>
    <t>Discounted Safety Benefits @ 3% (2015 $, '000s)</t>
  </si>
  <si>
    <t>Import from Crash History Data Tab?</t>
  </si>
  <si>
    <t>Improvement Information</t>
  </si>
  <si>
    <t>Project Identification</t>
  </si>
  <si>
    <t>Blank for reset…</t>
  </si>
  <si>
    <t>AIS 0</t>
  </si>
  <si>
    <t>No Injuries</t>
  </si>
  <si>
    <t>Sum(Prob)</t>
  </si>
  <si>
    <t>CRIS Data Conversion to AIS, TIGER BCA Resource Guide (2014)</t>
  </si>
  <si>
    <t>Crash Data on Abbreviated Injury Scale (AIS)</t>
  </si>
  <si>
    <t>Sum</t>
  </si>
  <si>
    <t>Potential Value of Crash Savings (2015 $)</t>
  </si>
  <si>
    <r>
      <t xml:space="preserve">Year Open to Traffic? </t>
    </r>
    <r>
      <rPr>
        <b/>
        <sz val="11"/>
        <color theme="1"/>
        <rFont val="Calibri"/>
        <family val="2"/>
        <scheme val="minor"/>
      </rPr>
      <t>(Must be &gt;=2018)</t>
    </r>
  </si>
  <si>
    <t>Service Life (years):</t>
  </si>
  <si>
    <t>Appropriate Crash Reduction Factor (%):</t>
  </si>
  <si>
    <t>Expr1</t>
  </si>
  <si>
    <t>Expr2</t>
  </si>
  <si>
    <t>Expr3</t>
  </si>
  <si>
    <t>Expr4</t>
  </si>
  <si>
    <t>NA</t>
  </si>
  <si>
    <t>CR 288</t>
  </si>
  <si>
    <t>CR 220</t>
  </si>
  <si>
    <t>COUNTY RD 288</t>
  </si>
  <si>
    <t>N/A</t>
  </si>
  <si>
    <t>Wed</t>
  </si>
  <si>
    <t>CR 454</t>
  </si>
  <si>
    <t>COUNTY ROAD 288</t>
  </si>
  <si>
    <t>CR 454 A</t>
  </si>
  <si>
    <t>COUNTY HWY 454A</t>
  </si>
  <si>
    <t>Sun</t>
  </si>
  <si>
    <t>CR 687</t>
  </si>
  <si>
    <t>Fri</t>
  </si>
  <si>
    <t>CR 698</t>
  </si>
  <si>
    <t>Thu</t>
  </si>
  <si>
    <t>S</t>
  </si>
  <si>
    <t>FRONT</t>
  </si>
  <si>
    <t>ST</t>
  </si>
  <si>
    <t>BEECHNUT</t>
  </si>
  <si>
    <t>S FRONT ST</t>
  </si>
  <si>
    <t>BEECHNUT ST</t>
  </si>
  <si>
    <t>Tue</t>
  </si>
  <si>
    <t>BS</t>
  </si>
  <si>
    <t>B</t>
  </si>
  <si>
    <t>BS0288B</t>
  </si>
  <si>
    <t>2013-000271</t>
  </si>
  <si>
    <t>LOSTROCCO</t>
  </si>
  <si>
    <t>NOT REPORTED</t>
  </si>
  <si>
    <t>COOK</t>
  </si>
  <si>
    <t>COOK RD</t>
  </si>
  <si>
    <t>UNKNOWN</t>
  </si>
  <si>
    <t>OLD ANGLETON RD</t>
  </si>
  <si>
    <t>M</t>
  </si>
  <si>
    <t>OLD ANGLETON CLUTE RD</t>
  </si>
  <si>
    <t>CLUTE ANGLETON RD</t>
  </si>
  <si>
    <t>CR0687</t>
  </si>
  <si>
    <t>SH</t>
  </si>
  <si>
    <t>SH0288</t>
  </si>
  <si>
    <t>A</t>
  </si>
  <si>
    <t>CR0220</t>
  </si>
  <si>
    <t>CR0288</t>
  </si>
  <si>
    <t>COALE RD</t>
  </si>
  <si>
    <t>OLD PLANTATION</t>
  </si>
  <si>
    <t>CR 288 Roadway Improvements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</si>
</sst>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 numFmtId="174" formatCode="[$-409]h:mm\ AM/PM;@"/>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sz val="9"/>
      <color theme="1"/>
      <name val="Calibri"/>
      <family val="2"/>
      <scheme val="minor"/>
    </font>
    <font>
      <i/>
      <sz val="11"/>
      <color theme="0"/>
      <name val="Calibri"/>
      <family val="2"/>
      <scheme val="minor"/>
    </font>
    <font>
      <u/>
      <sz val="11"/>
      <color theme="10"/>
      <name val="Calibri"/>
      <family val="2"/>
    </font>
    <font>
      <u/>
      <sz val="10"/>
      <color theme="10"/>
      <name val="Calibri"/>
      <family val="2"/>
    </font>
    <font>
      <b/>
      <sz val="9"/>
      <name val="Calibri"/>
      <family val="2"/>
      <scheme val="minor"/>
    </font>
    <font>
      <sz val="9"/>
      <name val="Calibri"/>
      <family val="2"/>
      <scheme val="minor"/>
    </font>
    <font>
      <b/>
      <sz val="9"/>
      <color indexed="8"/>
      <name val="Calibri"/>
      <family val="2"/>
      <scheme val="minor"/>
    </font>
    <font>
      <u/>
      <sz val="9"/>
      <color theme="10"/>
      <name val="Calibri"/>
      <family val="2"/>
    </font>
    <font>
      <b/>
      <u/>
      <sz val="11"/>
      <color theme="0"/>
      <name val="Calibri"/>
      <family val="2"/>
      <scheme val="minor"/>
    </font>
    <font>
      <b/>
      <sz val="14"/>
      <color theme="1"/>
      <name val="Calibri"/>
      <family val="2"/>
      <scheme val="minor"/>
    </font>
    <font>
      <sz val="9"/>
      <color rgb="FF000000"/>
      <name val="Calibri"/>
      <family val="2"/>
    </font>
    <font>
      <b/>
      <sz val="9"/>
      <color rgb="FF000000"/>
      <name val="Calibri"/>
      <family val="2"/>
    </font>
    <font>
      <b/>
      <sz val="9"/>
      <color rgb="FFFF0000"/>
      <name val="Calibri"/>
      <family val="2"/>
    </font>
  </fonts>
  <fills count="1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5" tint="0.59999389629810485"/>
        <bgColor theme="8" tint="0.79998168889431442"/>
      </patternFill>
    </fill>
    <fill>
      <patternFill patternType="solid">
        <fgColor theme="4" tint="0.39997558519241921"/>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132">
    <xf numFmtId="0" fontId="0" fillId="0" borderId="0" xfId="0"/>
    <xf numFmtId="164" fontId="0" fillId="0" borderId="0" xfId="1" applyNumberFormat="1" applyFont="1"/>
    <xf numFmtId="164" fontId="3" fillId="0" borderId="0" xfId="0" applyNumberFormat="1" applyFont="1"/>
    <xf numFmtId="10" fontId="0" fillId="0" borderId="0" xfId="3" applyNumberFormat="1" applyFont="1"/>
    <xf numFmtId="0" fontId="3" fillId="0" borderId="0" xfId="0" applyFont="1"/>
    <xf numFmtId="0" fontId="4" fillId="0" borderId="0" xfId="0" applyFont="1"/>
    <xf numFmtId="0" fontId="0" fillId="0" borderId="0" xfId="0" applyAlignment="1">
      <alignment horizontal="left"/>
    </xf>
    <xf numFmtId="44" fontId="0" fillId="0" borderId="0" xfId="2" applyFont="1"/>
    <xf numFmtId="0" fontId="5" fillId="0" borderId="0" xfId="0" applyFont="1" applyAlignment="1">
      <alignment horizontal="right"/>
    </xf>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9"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2" borderId="1" xfId="0" applyFill="1" applyBorder="1"/>
    <xf numFmtId="9" fontId="0" fillId="12" borderId="1" xfId="0" applyNumberFormat="1" applyFill="1" applyBorder="1"/>
    <xf numFmtId="165" fontId="0" fillId="12" borderId="1" xfId="0" applyNumberFormat="1" applyFill="1" applyBorder="1"/>
    <xf numFmtId="0" fontId="0" fillId="12" borderId="2" xfId="0" applyFill="1" applyBorder="1"/>
    <xf numFmtId="3" fontId="0" fillId="12" borderId="3" xfId="0" applyNumberFormat="1" applyFill="1" applyBorder="1"/>
    <xf numFmtId="2" fontId="0" fillId="12"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9" fillId="10" borderId="1" xfId="0" applyFont="1" applyFill="1" applyBorder="1" applyAlignment="1">
      <alignment horizontal="center"/>
    </xf>
    <xf numFmtId="0" fontId="0" fillId="0" borderId="0" xfId="0" applyAlignment="1">
      <alignment vertical="top"/>
    </xf>
    <xf numFmtId="0" fontId="0" fillId="12"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8" fillId="0" borderId="0" xfId="0" applyFont="1"/>
    <xf numFmtId="0" fontId="12" fillId="0" borderId="1" xfId="0" applyNumberFormat="1" applyFont="1" applyFill="1" applyBorder="1" applyAlignment="1" applyProtection="1">
      <alignment horizontal="center"/>
    </xf>
    <xf numFmtId="0" fontId="13" fillId="0" borderId="1" xfId="0" applyNumberFormat="1" applyFont="1" applyFill="1" applyBorder="1" applyAlignment="1" applyProtection="1"/>
    <xf numFmtId="167" fontId="13" fillId="0" borderId="1" xfId="0" applyNumberFormat="1" applyFont="1" applyFill="1" applyBorder="1" applyAlignment="1" applyProtection="1"/>
    <xf numFmtId="167" fontId="8" fillId="0" borderId="1" xfId="0" applyNumberFormat="1" applyFont="1" applyBorder="1"/>
    <xf numFmtId="0" fontId="13" fillId="0" borderId="0" xfId="0" applyNumberFormat="1" applyFont="1" applyFill="1" applyBorder="1" applyAlignment="1" applyProtection="1"/>
    <xf numFmtId="0" fontId="15" fillId="0" borderId="0" xfId="4" applyFont="1" applyAlignment="1" applyProtection="1"/>
    <xf numFmtId="0" fontId="0" fillId="0" borderId="1" xfId="0" applyFill="1" applyBorder="1" applyAlignment="1">
      <alignment vertical="top"/>
    </xf>
    <xf numFmtId="0" fontId="11" fillId="0" borderId="1" xfId="4" applyFont="1" applyBorder="1" applyAlignment="1" applyProtection="1">
      <alignment horizontal="right" vertical="top" wrapText="1"/>
    </xf>
    <xf numFmtId="0" fontId="0" fillId="0" borderId="1" xfId="0" applyBorder="1" applyAlignment="1">
      <alignment vertical="top"/>
    </xf>
    <xf numFmtId="6" fontId="0" fillId="0" borderId="1" xfId="0" applyNumberFormat="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9" fontId="7" fillId="0" borderId="1" xfId="0" applyNumberFormat="1" applyFont="1" applyFill="1" applyBorder="1" applyAlignment="1">
      <alignment horizontal="right" vertical="top"/>
    </xf>
    <xf numFmtId="44" fontId="0" fillId="0" borderId="0" xfId="0" applyNumberFormat="1"/>
    <xf numFmtId="0" fontId="3" fillId="11" borderId="1" xfId="0" applyFont="1" applyFill="1" applyBorder="1"/>
    <xf numFmtId="169" fontId="0" fillId="12" borderId="3" xfId="0" applyNumberFormat="1" applyFill="1" applyBorder="1"/>
    <xf numFmtId="165" fontId="0" fillId="7" borderId="1" xfId="2" applyNumberFormat="1" applyFont="1" applyFill="1" applyBorder="1" applyAlignment="1">
      <alignment horizontal="center"/>
    </xf>
    <xf numFmtId="166" fontId="0" fillId="12" borderId="1" xfId="0" applyNumberFormat="1" applyFill="1" applyBorder="1"/>
    <xf numFmtId="165" fontId="0" fillId="7" borderId="1" xfId="2" applyNumberFormat="1" applyFont="1" applyFill="1" applyBorder="1" applyAlignment="1" applyProtection="1">
      <alignment horizontal="center"/>
    </xf>
    <xf numFmtId="168"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2" borderId="1" xfId="3" applyNumberFormat="1" applyFont="1" applyFill="1" applyBorder="1"/>
    <xf numFmtId="166" fontId="0" fillId="5" borderId="1" xfId="0" applyNumberFormat="1" applyFill="1" applyBorder="1"/>
    <xf numFmtId="168" fontId="0" fillId="12"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6" fontId="0" fillId="0" borderId="4" xfId="0" applyNumberFormat="1" applyBorder="1" applyAlignment="1">
      <alignment vertical="top"/>
    </xf>
    <xf numFmtId="10" fontId="7" fillId="0" borderId="1" xfId="0" applyNumberFormat="1" applyFont="1" applyFill="1" applyBorder="1" applyAlignment="1">
      <alignment horizontal="right" vertical="top"/>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6" fontId="0" fillId="0" borderId="1" xfId="0" applyNumberFormat="1" applyBorder="1"/>
    <xf numFmtId="167" fontId="0" fillId="0" borderId="1" xfId="0" applyNumberFormat="1" applyBorder="1" applyAlignment="1">
      <alignment horizontal="center"/>
    </xf>
    <xf numFmtId="166" fontId="0" fillId="0" borderId="1" xfId="0" applyNumberFormat="1" applyFill="1" applyBorder="1" applyAlignment="1">
      <alignment vertical="top"/>
    </xf>
    <xf numFmtId="10" fontId="2" fillId="10" borderId="1" xfId="3" applyNumberFormat="1" applyFont="1" applyFill="1" applyBorder="1" applyAlignment="1">
      <alignment horizontal="center"/>
    </xf>
    <xf numFmtId="10" fontId="0" fillId="9"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9" borderId="1" xfId="3"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9" borderId="1" xfId="3" applyNumberFormat="1" applyFont="1" applyFill="1" applyBorder="1" applyAlignment="1">
      <alignment horizontal="center"/>
    </xf>
    <xf numFmtId="0" fontId="0" fillId="0" borderId="0" xfId="0" applyNumberFormat="1"/>
    <xf numFmtId="165" fontId="0" fillId="14" borderId="1" xfId="2" applyNumberFormat="1" applyFont="1" applyFill="1" applyBorder="1" applyAlignment="1">
      <alignment horizontal="center"/>
    </xf>
    <xf numFmtId="0" fontId="0" fillId="8" borderId="1" xfId="0" applyFont="1" applyFill="1" applyBorder="1" applyAlignment="1">
      <alignment horizontal="center"/>
    </xf>
    <xf numFmtId="10" fontId="0" fillId="8" borderId="1" xfId="3" applyNumberFormat="1" applyFont="1" applyFill="1" applyBorder="1" applyAlignment="1">
      <alignment horizontal="center"/>
    </xf>
    <xf numFmtId="2" fontId="0" fillId="8" borderId="1" xfId="0" applyNumberFormat="1" applyFont="1" applyFill="1" applyBorder="1" applyAlignment="1">
      <alignment horizontal="center"/>
    </xf>
    <xf numFmtId="0" fontId="0" fillId="8"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0" fontId="17" fillId="0" borderId="5" xfId="0" applyFont="1" applyBorder="1"/>
    <xf numFmtId="0" fontId="0" fillId="0" borderId="5" xfId="0" applyBorder="1"/>
    <xf numFmtId="3" fontId="0" fillId="8" borderId="1" xfId="0" applyNumberFormat="1" applyFont="1" applyFill="1" applyBorder="1" applyAlignment="1" applyProtection="1">
      <alignment horizontal="center"/>
    </xf>
    <xf numFmtId="0" fontId="0" fillId="0" borderId="6" xfId="0" applyBorder="1"/>
    <xf numFmtId="0" fontId="7" fillId="15" borderId="1" xfId="0" applyFont="1" applyFill="1" applyBorder="1"/>
    <xf numFmtId="3" fontId="7" fillId="15" borderId="1" xfId="0" applyNumberFormat="1" applyFont="1" applyFill="1" applyBorder="1" applyProtection="1">
      <protection locked="0"/>
    </xf>
    <xf numFmtId="18" fontId="0" fillId="0" borderId="0" xfId="0" applyNumberFormat="1"/>
    <xf numFmtId="14" fontId="0" fillId="0" borderId="0" xfId="0" applyNumberFormat="1"/>
    <xf numFmtId="0" fontId="2" fillId="4" borderId="7" xfId="0" applyFont="1" applyFill="1" applyBorder="1"/>
    <xf numFmtId="0" fontId="9" fillId="4" borderId="7" xfId="0" applyFont="1" applyFill="1" applyBorder="1" applyAlignment="1">
      <alignment horizontal="center"/>
    </xf>
    <xf numFmtId="0" fontId="0" fillId="3" borderId="0" xfId="0" applyFill="1" applyBorder="1"/>
    <xf numFmtId="0" fontId="0" fillId="0" borderId="1" xfId="0" applyFont="1" applyBorder="1"/>
    <xf numFmtId="171" fontId="0" fillId="0" borderId="1" xfId="3" applyNumberFormat="1" applyFont="1" applyBorder="1"/>
    <xf numFmtId="171" fontId="4" fillId="0" borderId="1" xfId="0" applyNumberFormat="1" applyFont="1" applyBorder="1"/>
    <xf numFmtId="4" fontId="3" fillId="0" borderId="1" xfId="0" applyNumberFormat="1" applyFont="1" applyBorder="1"/>
    <xf numFmtId="172" fontId="0" fillId="0" borderId="1" xfId="0" applyNumberFormat="1" applyBorder="1"/>
    <xf numFmtId="9" fontId="0" fillId="3" borderId="1" xfId="0" applyNumberFormat="1" applyFill="1" applyBorder="1" applyProtection="1">
      <protection locked="0"/>
    </xf>
    <xf numFmtId="165" fontId="0" fillId="13" borderId="1" xfId="2" applyNumberFormat="1" applyFont="1" applyFill="1" applyBorder="1" applyAlignment="1">
      <alignment horizontal="center"/>
    </xf>
    <xf numFmtId="0" fontId="2" fillId="16" borderId="7" xfId="0" applyFont="1" applyFill="1" applyBorder="1"/>
    <xf numFmtId="0" fontId="9" fillId="16" borderId="7" xfId="0" applyFont="1" applyFill="1" applyBorder="1" applyAlignment="1">
      <alignment horizontal="center"/>
    </xf>
    <xf numFmtId="4" fontId="7" fillId="17" borderId="1" xfId="0" applyNumberFormat="1" applyFont="1" applyFill="1" applyBorder="1" applyProtection="1">
      <protection locked="0"/>
    </xf>
    <xf numFmtId="0" fontId="0" fillId="18" borderId="1" xfId="0" applyFill="1" applyBorder="1"/>
    <xf numFmtId="3" fontId="0" fillId="18" borderId="1" xfId="0" applyNumberFormat="1" applyFill="1" applyBorder="1" applyProtection="1">
      <protection locked="0"/>
    </xf>
    <xf numFmtId="0" fontId="2" fillId="16" borderId="2" xfId="0" applyFont="1" applyFill="1" applyBorder="1"/>
    <xf numFmtId="0" fontId="0" fillId="16" borderId="1" xfId="0" applyFill="1" applyBorder="1"/>
    <xf numFmtId="0" fontId="0" fillId="0" borderId="0" xfId="0" applyFill="1"/>
    <xf numFmtId="14" fontId="0" fillId="0" borderId="0" xfId="0" applyNumberFormat="1" applyFill="1"/>
    <xf numFmtId="18" fontId="0" fillId="0" borderId="0" xfId="0" applyNumberFormat="1" applyFill="1"/>
    <xf numFmtId="168" fontId="0" fillId="0" borderId="0" xfId="0" applyNumberFormat="1" applyFill="1"/>
    <xf numFmtId="1" fontId="0" fillId="0" borderId="0" xfId="0" applyNumberFormat="1" applyFill="1"/>
    <xf numFmtId="173" fontId="0" fillId="0" borderId="0" xfId="0" applyNumberFormat="1" applyFill="1"/>
    <xf numFmtId="174" fontId="0" fillId="0" borderId="0" xfId="0" applyNumberFormat="1" applyFill="1"/>
    <xf numFmtId="172" fontId="0" fillId="0" borderId="0" xfId="0" applyNumberFormat="1" applyFill="1"/>
    <xf numFmtId="0" fontId="16" fillId="4" borderId="2" xfId="0" applyFont="1" applyFill="1" applyBorder="1" applyAlignment="1">
      <alignment horizontal="center"/>
    </xf>
    <xf numFmtId="0" fontId="16" fillId="4" borderId="3" xfId="0" applyFont="1" applyFill="1" applyBorder="1" applyAlignment="1">
      <alignment horizontal="center"/>
    </xf>
    <xf numFmtId="0" fontId="3" fillId="0" borderId="1" xfId="0" applyFont="1" applyBorder="1" applyAlignment="1">
      <alignment horizontal="center"/>
    </xf>
    <xf numFmtId="0" fontId="3" fillId="0" borderId="1" xfId="0" applyFont="1" applyFill="1" applyBorder="1" applyAlignment="1">
      <alignment horizontal="center"/>
    </xf>
    <xf numFmtId="0" fontId="7" fillId="0" borderId="2" xfId="0" applyFont="1" applyFill="1" applyBorder="1" applyAlignment="1">
      <alignment vertical="top"/>
    </xf>
    <xf numFmtId="0" fontId="7" fillId="0" borderId="3" xfId="0" applyFont="1" applyFill="1" applyBorder="1" applyAlignment="1">
      <alignment vertical="top"/>
    </xf>
    <xf numFmtId="0" fontId="4" fillId="0" borderId="1" xfId="0" applyFont="1" applyFill="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hyperlink" Target="http://ftp.dot.state.tx.us/pub/txdot-info/trf/hsipworkcodestable.pdf"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78873</xdr:colOff>
      <xdr:row>0</xdr:row>
      <xdr:rowOff>123264</xdr:rowOff>
    </xdr:from>
    <xdr:to>
      <xdr:col>4</xdr:col>
      <xdr:colOff>955367</xdr:colOff>
      <xdr:row>17</xdr:row>
      <xdr:rowOff>131885</xdr:rowOff>
    </xdr:to>
    <xdr:sp macro="" textlink="">
      <xdr:nvSpPr>
        <xdr:cNvPr id="2" name="TextBox 1">
          <a:hlinkClick xmlns:r="http://schemas.openxmlformats.org/officeDocument/2006/relationships" r:id="rId1"/>
        </xdr:cNvPr>
        <xdr:cNvSpPr txBox="1"/>
      </xdr:nvSpPr>
      <xdr:spPr>
        <a:xfrm>
          <a:off x="78873" y="123264"/>
          <a:ext cx="6650109" cy="3247121"/>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On the "Inputs</a:t>
          </a:r>
          <a:r>
            <a:rPr lang="en-US" sz="1100" b="0" baseline="0">
              <a:solidFill>
                <a:schemeClr val="bg1"/>
              </a:solidFill>
            </a:rPr>
            <a:t> &amp; Outputs" tab, f</a:t>
          </a:r>
          <a:r>
            <a:rPr lang="en-US" sz="1100" b="0">
              <a:solidFill>
                <a:schemeClr val="bg1"/>
              </a:solidFill>
            </a:rPr>
            <a:t>ill in all "blue" shaded sections ("Project Information" and "Daily Travel Demand</a:t>
          </a:r>
          <a:r>
            <a:rPr lang="en-US" sz="1100" b="0" baseline="0">
              <a:solidFill>
                <a:schemeClr val="bg1"/>
              </a:solidFill>
            </a:rPr>
            <a:t>", etc.).  While optional, please provide 2025 volume/capacity if available. </a:t>
          </a:r>
        </a:p>
        <a:p>
          <a:endParaRPr lang="en-US" sz="1100" b="0" baseline="0">
            <a:solidFill>
              <a:schemeClr val="bg1"/>
            </a:solidFill>
          </a:endParaRPr>
        </a:p>
        <a:p>
          <a:r>
            <a:rPr lang="en-US" sz="1100" b="1" i="1" baseline="0">
              <a:solidFill>
                <a:schemeClr val="bg1"/>
              </a:solidFill>
            </a:rPr>
            <a:t>Crash Reduction Factors and Service Life values should be consistent with TxDOT's current Highway Safety Improvement Program (HSIP) Work Codes Table (http://ftp.dot.state.tx.us/pub/txdot-info/trf/hsipworkcodestable.pdf)</a:t>
          </a:r>
        </a:p>
        <a:p>
          <a:endParaRPr lang="en-US" sz="1100" b="0" baseline="0">
            <a:solidFill>
              <a:schemeClr val="bg1"/>
            </a:solidFill>
          </a:endParaRPr>
        </a:p>
        <a:p>
          <a:r>
            <a:rPr lang="en-US" sz="1100" b="0" baseline="0">
              <a:solidFill>
                <a:schemeClr val="bg1"/>
              </a:solidFill>
            </a:rPr>
            <a:t>2. On the "Inputs &amp; Outputs" tab, provide three years of crash history data in the "purple" shaded section. This data can be provided in two ways: </a:t>
          </a:r>
        </a:p>
        <a:p>
          <a:r>
            <a:rPr lang="en-US" sz="1100" b="0" baseline="0">
              <a:solidFill>
                <a:schemeClr val="bg1"/>
              </a:solidFill>
            </a:rPr>
            <a:t>     (A) Copy and paste reviewed/validated CRIS database records into the "CRASH" tab, and use the "Import" 	button on the "Inputs &amp; Outputs" tab generate the summary; or</a:t>
          </a:r>
        </a:p>
        <a:p>
          <a:r>
            <a:rPr lang="en-US" sz="1100" b="0" baseline="0">
              <a:solidFill>
                <a:schemeClr val="bg1"/>
              </a:solidFill>
            </a:rPr>
            <a:t>     (B) Directly enter the summary crash data on the "Inputs &amp; Outputs" tab.</a:t>
          </a:r>
        </a:p>
        <a:p>
          <a:endParaRPr lang="en-US" sz="1100" b="0" baseline="0">
            <a:solidFill>
              <a:schemeClr val="bg1"/>
            </a:solidFill>
          </a:endParaRPr>
        </a:p>
        <a:p>
          <a:r>
            <a:rPr lang="en-US" sz="1100" b="1" i="1" baseline="0">
              <a:solidFill>
                <a:schemeClr val="bg1"/>
              </a:solidFill>
            </a:rPr>
            <a:t>In either case you must provide appropriate documentation of the crash history records and the process used to review and validate the records as appropriate for inclusion in the analysis (type/causes of crash, etc).</a:t>
          </a:r>
        </a:p>
        <a:p>
          <a:endParaRPr lang="en-US" sz="1100" b="0" baseline="0">
            <a:solidFill>
              <a:schemeClr val="bg1"/>
            </a:solidFill>
          </a:endParaRPr>
        </a:p>
        <a:p>
          <a:r>
            <a:rPr lang="en-US" sz="1100" b="0" baseline="0">
              <a:solidFill>
                <a:schemeClr val="bg1"/>
              </a:solidFill>
            </a:rPr>
            <a:t>3. Results will be populated in "red" shaded section ("Benefit Results")</a:t>
          </a:r>
        </a:p>
        <a:p>
          <a:endParaRPr lang="en-US" sz="1100" b="1" baseline="0">
            <a:solidFill>
              <a:schemeClr val="bg1"/>
            </a:solidFill>
          </a:endParaRPr>
        </a:p>
        <a:p>
          <a:endParaRPr lang="en-US"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5</xdr:row>
          <xdr:rowOff>28575</xdr:rowOff>
        </xdr:from>
        <xdr:to>
          <xdr:col>4</xdr:col>
          <xdr:colOff>828675</xdr:colOff>
          <xdr:row>6</xdr:row>
          <xdr:rowOff>0</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900" b="0" i="0" u="none" strike="noStrike" baseline="0">
                  <a:solidFill>
                    <a:srgbClr val="000000"/>
                  </a:solidFill>
                  <a:latin typeface="Calibri"/>
                </a:rPr>
                <a:t>Import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5</xdr:row>
          <xdr:rowOff>19050</xdr:rowOff>
        </xdr:from>
        <xdr:to>
          <xdr:col>4</xdr:col>
          <xdr:colOff>828675</xdr:colOff>
          <xdr:row>5</xdr:row>
          <xdr:rowOff>180975</xdr:rowOff>
        </xdr:to>
        <xdr:sp macro="" textlink="">
          <xdr:nvSpPr>
            <xdr:cNvPr id="6146" name="Button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900" b="1" i="0" u="none" strike="noStrike" baseline="0">
                  <a:solidFill>
                    <a:srgbClr val="000000"/>
                  </a:solidFill>
                  <a:latin typeface="Calibri"/>
                </a:rPr>
                <a:t>Import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19050</xdr:colOff>
          <xdr:row>5</xdr:row>
          <xdr:rowOff>19050</xdr:rowOff>
        </xdr:from>
        <xdr:to>
          <xdr:col>5</xdr:col>
          <xdr:colOff>600075</xdr:colOff>
          <xdr:row>5</xdr:row>
          <xdr:rowOff>180975</xdr:rowOff>
        </xdr:to>
        <xdr:sp macro="" textlink="">
          <xdr:nvSpPr>
            <xdr:cNvPr id="6149" name="Button 5" hidden="1">
              <a:extLst>
                <a:ext uri="{63B3BB69-23CF-44E3-9099-C40C66FF867C}">
                  <a14:compatExt spid="_x0000_s61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Calibri"/>
                </a:rPr>
                <a:t>Reset</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http://www.dot.gov/sites/dot.gov/files/docs/TIGER%20BCA%20Resource%20Guide%202014.pdf</a:t>
          </a:r>
          <a:r>
            <a:rPr lang="en-US" sz="105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pageSetUpPr fitToPage="1"/>
  </sheetPr>
  <dimension ref="A7"/>
  <sheetViews>
    <sheetView zoomScale="130" zoomScaleNormal="130" workbookViewId="0">
      <selection activeCell="A20" sqref="A20"/>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3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14" t="s">
        <v>13</v>
      </c>
      <c r="D3" s="14" t="s">
        <v>32</v>
      </c>
      <c r="E3" s="15" t="s">
        <v>22</v>
      </c>
      <c r="G3" s="21" t="s">
        <v>26</v>
      </c>
      <c r="H3" s="21"/>
      <c r="I3" s="21" t="s">
        <v>33</v>
      </c>
      <c r="J3" s="21" t="s">
        <v>73</v>
      </c>
    </row>
    <row r="4" spans="1:10" x14ac:dyDescent="0.25">
      <c r="A4" s="12" t="s">
        <v>18</v>
      </c>
      <c r="B4" s="13"/>
      <c r="D4" s="12" t="s">
        <v>68</v>
      </c>
      <c r="E4" s="68">
        <v>2015</v>
      </c>
      <c r="G4" s="19">
        <f>E4</f>
        <v>2015</v>
      </c>
      <c r="H4" s="19">
        <f>IF(G4&lt;2041,1,0)</f>
        <v>1</v>
      </c>
      <c r="I4" s="29">
        <f>IF($G4&lt;($G$4+$E$5),$E$17,0)*H4</f>
        <v>0</v>
      </c>
      <c r="J4" s="56">
        <f>I4*$B$18*$B$19/10^3</f>
        <v>0</v>
      </c>
    </row>
    <row r="5" spans="1:10" x14ac:dyDescent="0.25">
      <c r="A5" s="12" t="s">
        <v>19</v>
      </c>
      <c r="B5" s="13"/>
      <c r="D5" s="12" t="s">
        <v>57</v>
      </c>
      <c r="E5" s="16">
        <v>10</v>
      </c>
      <c r="G5" s="20">
        <f t="shared" ref="G5:G29" si="0">G4+1</f>
        <v>2016</v>
      </c>
      <c r="H5" s="20">
        <f t="shared" ref="H5:H29" si="1">IF(G5&lt;2041,1,0)</f>
        <v>1</v>
      </c>
      <c r="I5" s="29">
        <f t="shared" ref="I5:I29" si="2">IF($G5&lt;($G$4+$E$5),$E$17,0)*H5</f>
        <v>0</v>
      </c>
      <c r="J5" s="63">
        <f t="shared" ref="J5:J24" si="3">I5*$B$18*$B$19/10^3</f>
        <v>0</v>
      </c>
    </row>
    <row r="6" spans="1:10" x14ac:dyDescent="0.25">
      <c r="A6" s="12" t="s">
        <v>20</v>
      </c>
      <c r="B6" s="13">
        <v>1</v>
      </c>
      <c r="D6" s="125" t="s">
        <v>55</v>
      </c>
      <c r="E6" s="126"/>
      <c r="G6" s="19">
        <f t="shared" si="0"/>
        <v>2017</v>
      </c>
      <c r="H6" s="19">
        <f t="shared" si="1"/>
        <v>1</v>
      </c>
      <c r="I6" s="29">
        <f t="shared" si="2"/>
        <v>0</v>
      </c>
      <c r="J6" s="56">
        <f t="shared" si="3"/>
        <v>0</v>
      </c>
    </row>
    <row r="7" spans="1:10" x14ac:dyDescent="0.25">
      <c r="A7" s="12" t="s">
        <v>71</v>
      </c>
      <c r="B7" s="31"/>
      <c r="D7" s="12" t="s">
        <v>65</v>
      </c>
      <c r="E7" s="16"/>
      <c r="G7" s="20">
        <f t="shared" si="0"/>
        <v>2018</v>
      </c>
      <c r="H7" s="20">
        <f t="shared" si="1"/>
        <v>1</v>
      </c>
      <c r="I7" s="29">
        <f t="shared" si="2"/>
        <v>0</v>
      </c>
      <c r="J7" s="63">
        <f t="shared" si="3"/>
        <v>0</v>
      </c>
    </row>
    <row r="8" spans="1:10" x14ac:dyDescent="0.25">
      <c r="A8" s="30" t="s">
        <v>72</v>
      </c>
      <c r="B8" s="31"/>
      <c r="D8" s="12" t="s">
        <v>63</v>
      </c>
      <c r="E8" s="67">
        <v>1.1499999999999999</v>
      </c>
      <c r="G8" s="19">
        <f t="shared" si="0"/>
        <v>2019</v>
      </c>
      <c r="H8" s="19">
        <f t="shared" si="1"/>
        <v>1</v>
      </c>
      <c r="I8" s="29">
        <f t="shared" si="2"/>
        <v>0</v>
      </c>
      <c r="J8" s="56">
        <f t="shared" si="3"/>
        <v>0</v>
      </c>
    </row>
    <row r="9" spans="1:10" x14ac:dyDescent="0.25">
      <c r="G9" s="20">
        <f t="shared" si="0"/>
        <v>2020</v>
      </c>
      <c r="H9" s="20">
        <f t="shared" si="1"/>
        <v>1</v>
      </c>
      <c r="I9" s="29">
        <f t="shared" si="2"/>
        <v>0</v>
      </c>
      <c r="J9" s="63">
        <f t="shared" si="3"/>
        <v>0</v>
      </c>
    </row>
    <row r="10" spans="1:10" x14ac:dyDescent="0.25">
      <c r="A10" s="18" t="s">
        <v>31</v>
      </c>
      <c r="G10" s="19">
        <f t="shared" si="0"/>
        <v>2021</v>
      </c>
      <c r="H10" s="19">
        <f t="shared" si="1"/>
        <v>1</v>
      </c>
      <c r="I10" s="29">
        <f t="shared" si="2"/>
        <v>0</v>
      </c>
      <c r="J10" s="56">
        <f t="shared" si="3"/>
        <v>0</v>
      </c>
    </row>
    <row r="11" spans="1:10" x14ac:dyDescent="0.25">
      <c r="A11" s="17" t="s">
        <v>67</v>
      </c>
      <c r="B11" s="65" t="e">
        <f>NPV($B$17,J4:J29)/(1+$B$17)^(E4-B16+1)</f>
        <v>#VALUE!</v>
      </c>
      <c r="G11" s="20">
        <f t="shared" si="0"/>
        <v>2022</v>
      </c>
      <c r="H11" s="20">
        <f t="shared" si="1"/>
        <v>1</v>
      </c>
      <c r="I11" s="29">
        <f t="shared" si="2"/>
        <v>0</v>
      </c>
      <c r="J11" s="63">
        <f t="shared" si="3"/>
        <v>0</v>
      </c>
    </row>
    <row r="12" spans="1:10" x14ac:dyDescent="0.25">
      <c r="A12" s="17" t="s">
        <v>30</v>
      </c>
      <c r="B12" s="62" t="e">
        <f>B11/B7</f>
        <v>#VALUE!</v>
      </c>
      <c r="G12" s="19">
        <f t="shared" si="0"/>
        <v>2023</v>
      </c>
      <c r="H12" s="19">
        <f t="shared" si="1"/>
        <v>1</v>
      </c>
      <c r="I12" s="29">
        <f t="shared" si="2"/>
        <v>0</v>
      </c>
      <c r="J12" s="56">
        <f t="shared" si="3"/>
        <v>0</v>
      </c>
    </row>
    <row r="13" spans="1:10" x14ac:dyDescent="0.25">
      <c r="G13" s="20">
        <f t="shared" si="0"/>
        <v>2024</v>
      </c>
      <c r="H13" s="20">
        <f t="shared" si="1"/>
        <v>1</v>
      </c>
      <c r="I13" s="29">
        <f t="shared" si="2"/>
        <v>0</v>
      </c>
      <c r="J13" s="63">
        <f t="shared" si="3"/>
        <v>0</v>
      </c>
    </row>
    <row r="14" spans="1:10" x14ac:dyDescent="0.25">
      <c r="G14" s="19">
        <f>G13+1</f>
        <v>2025</v>
      </c>
      <c r="H14" s="19">
        <f t="shared" si="1"/>
        <v>1</v>
      </c>
      <c r="I14" s="29">
        <f t="shared" si="2"/>
        <v>0</v>
      </c>
      <c r="J14" s="56">
        <f t="shared" si="3"/>
        <v>0</v>
      </c>
    </row>
    <row r="15" spans="1:10" x14ac:dyDescent="0.25">
      <c r="A15" s="22" t="s">
        <v>14</v>
      </c>
      <c r="G15" s="20">
        <f t="shared" si="0"/>
        <v>2026</v>
      </c>
      <c r="H15" s="20">
        <f t="shared" si="1"/>
        <v>1</v>
      </c>
      <c r="I15" s="29">
        <f t="shared" si="2"/>
        <v>0</v>
      </c>
      <c r="J15" s="63">
        <f t="shared" si="3"/>
        <v>0</v>
      </c>
    </row>
    <row r="16" spans="1:10" x14ac:dyDescent="0.25">
      <c r="A16" s="23" t="s">
        <v>15</v>
      </c>
      <c r="B16" s="34">
        <f>'Assumed Values'!C5</f>
        <v>2015</v>
      </c>
      <c r="D16" s="22" t="s">
        <v>28</v>
      </c>
      <c r="E16" s="32" t="s">
        <v>22</v>
      </c>
      <c r="G16" s="19">
        <f t="shared" si="0"/>
        <v>2027</v>
      </c>
      <c r="H16" s="19">
        <f t="shared" si="1"/>
        <v>1</v>
      </c>
      <c r="I16" s="29">
        <f t="shared" si="2"/>
        <v>0</v>
      </c>
      <c r="J16" s="56">
        <f t="shared" si="3"/>
        <v>0</v>
      </c>
    </row>
    <row r="17" spans="1:10" x14ac:dyDescent="0.25">
      <c r="A17" s="23" t="s">
        <v>16</v>
      </c>
      <c r="B17" s="24" t="str">
        <f>'Assumed Values'!C6</f>
        <v>3% and 7%</v>
      </c>
      <c r="D17" s="26" t="s">
        <v>64</v>
      </c>
      <c r="E17" s="27">
        <f>E7/E8</f>
        <v>0</v>
      </c>
      <c r="G17" s="20">
        <f t="shared" si="0"/>
        <v>2028</v>
      </c>
      <c r="H17" s="20">
        <f t="shared" si="1"/>
        <v>1</v>
      </c>
      <c r="I17" s="29">
        <f t="shared" si="2"/>
        <v>0</v>
      </c>
      <c r="J17" s="63">
        <f t="shared" si="3"/>
        <v>0</v>
      </c>
    </row>
    <row r="18" spans="1:10" x14ac:dyDescent="0.25">
      <c r="A18" s="23" t="s">
        <v>17</v>
      </c>
      <c r="B18" s="23">
        <f>IF(B6=2,2.1, 1.1)</f>
        <v>1.1000000000000001</v>
      </c>
      <c r="G18" s="19">
        <f t="shared" si="0"/>
        <v>2029</v>
      </c>
      <c r="H18" s="19">
        <f t="shared" si="1"/>
        <v>1</v>
      </c>
      <c r="I18" s="29">
        <f t="shared" si="2"/>
        <v>0</v>
      </c>
      <c r="J18" s="56">
        <f t="shared" si="3"/>
        <v>0</v>
      </c>
    </row>
    <row r="19" spans="1:10" x14ac:dyDescent="0.25">
      <c r="A19" s="23" t="s">
        <v>21</v>
      </c>
      <c r="B19" s="25">
        <f>'Assumed Values'!C15</f>
        <v>16.100000000000001</v>
      </c>
      <c r="G19" s="20">
        <f t="shared" si="0"/>
        <v>2030</v>
      </c>
      <c r="H19" s="20">
        <f t="shared" si="1"/>
        <v>1</v>
      </c>
      <c r="I19" s="29">
        <f t="shared" si="2"/>
        <v>0</v>
      </c>
      <c r="J19" s="63">
        <f t="shared" si="3"/>
        <v>0</v>
      </c>
    </row>
    <row r="20" spans="1:10" x14ac:dyDescent="0.25">
      <c r="A20" s="23" t="s">
        <v>29</v>
      </c>
      <c r="B20" s="23">
        <v>260</v>
      </c>
      <c r="G20" s="19">
        <f t="shared" si="0"/>
        <v>2031</v>
      </c>
      <c r="H20" s="19">
        <f t="shared" si="1"/>
        <v>1</v>
      </c>
      <c r="I20" s="29">
        <f t="shared" si="2"/>
        <v>0</v>
      </c>
      <c r="J20" s="56">
        <f t="shared" si="3"/>
        <v>0</v>
      </c>
    </row>
    <row r="21" spans="1:10" x14ac:dyDescent="0.25">
      <c r="G21" s="20">
        <f t="shared" si="0"/>
        <v>2032</v>
      </c>
      <c r="H21" s="20">
        <f t="shared" si="1"/>
        <v>1</v>
      </c>
      <c r="I21" s="29">
        <f t="shared" si="2"/>
        <v>0</v>
      </c>
      <c r="J21" s="63">
        <f t="shared" si="3"/>
        <v>0</v>
      </c>
    </row>
    <row r="22" spans="1:10" x14ac:dyDescent="0.25">
      <c r="G22" s="19">
        <f t="shared" si="0"/>
        <v>2033</v>
      </c>
      <c r="H22" s="19">
        <f t="shared" si="1"/>
        <v>1</v>
      </c>
      <c r="I22" s="29">
        <f t="shared" si="2"/>
        <v>0</v>
      </c>
      <c r="J22" s="56">
        <f t="shared" si="3"/>
        <v>0</v>
      </c>
    </row>
    <row r="23" spans="1:10" x14ac:dyDescent="0.25">
      <c r="G23" s="20">
        <f t="shared" si="0"/>
        <v>2034</v>
      </c>
      <c r="H23" s="20">
        <f t="shared" si="1"/>
        <v>1</v>
      </c>
      <c r="I23" s="29">
        <f t="shared" si="2"/>
        <v>0</v>
      </c>
      <c r="J23" s="63">
        <f t="shared" si="3"/>
        <v>0</v>
      </c>
    </row>
    <row r="24" spans="1:10" x14ac:dyDescent="0.25">
      <c r="G24" s="19">
        <f t="shared" si="0"/>
        <v>2035</v>
      </c>
      <c r="H24" s="19">
        <f t="shared" si="1"/>
        <v>1</v>
      </c>
      <c r="I24" s="29">
        <f t="shared" si="2"/>
        <v>0</v>
      </c>
      <c r="J24" s="56">
        <f t="shared" si="3"/>
        <v>0</v>
      </c>
    </row>
    <row r="25" spans="1:10" x14ac:dyDescent="0.25">
      <c r="G25" s="20">
        <f t="shared" si="0"/>
        <v>2036</v>
      </c>
      <c r="H25" s="20">
        <f t="shared" si="1"/>
        <v>1</v>
      </c>
      <c r="I25" s="29">
        <f t="shared" si="2"/>
        <v>0</v>
      </c>
      <c r="J25" s="63">
        <f t="shared" ref="J25:J29" si="4">I25*$B$18*$B$19/10^3</f>
        <v>0</v>
      </c>
    </row>
    <row r="26" spans="1:10" x14ac:dyDescent="0.25">
      <c r="G26" s="19">
        <f t="shared" si="0"/>
        <v>2037</v>
      </c>
      <c r="H26" s="19">
        <f t="shared" si="1"/>
        <v>1</v>
      </c>
      <c r="I26" s="29">
        <f t="shared" si="2"/>
        <v>0</v>
      </c>
      <c r="J26" s="56">
        <f t="shared" si="4"/>
        <v>0</v>
      </c>
    </row>
    <row r="27" spans="1:10" x14ac:dyDescent="0.25">
      <c r="G27" s="20">
        <f t="shared" si="0"/>
        <v>2038</v>
      </c>
      <c r="H27" s="20">
        <f t="shared" si="1"/>
        <v>1</v>
      </c>
      <c r="I27" s="29">
        <f t="shared" si="2"/>
        <v>0</v>
      </c>
      <c r="J27" s="63">
        <f t="shared" si="4"/>
        <v>0</v>
      </c>
    </row>
    <row r="28" spans="1:10" x14ac:dyDescent="0.25">
      <c r="G28" s="19">
        <f t="shared" si="0"/>
        <v>2039</v>
      </c>
      <c r="H28" s="19">
        <f t="shared" si="1"/>
        <v>1</v>
      </c>
      <c r="I28" s="29">
        <f t="shared" si="2"/>
        <v>0</v>
      </c>
      <c r="J28" s="56">
        <f t="shared" si="4"/>
        <v>0</v>
      </c>
    </row>
    <row r="29" spans="1:10" x14ac:dyDescent="0.25">
      <c r="A29" s="33"/>
      <c r="G29" s="20">
        <f t="shared" si="0"/>
        <v>2040</v>
      </c>
      <c r="H29" s="20">
        <f t="shared" si="1"/>
        <v>1</v>
      </c>
      <c r="I29" s="29">
        <f t="shared" si="2"/>
        <v>0</v>
      </c>
      <c r="J29" s="63">
        <f t="shared" si="4"/>
        <v>0</v>
      </c>
    </row>
    <row r="51" spans="1:1" x14ac:dyDescent="0.25">
      <c r="A51" t="s">
        <v>23</v>
      </c>
    </row>
    <row r="52" spans="1:1" x14ac:dyDescent="0.25">
      <c r="A52" s="11" t="s">
        <v>25</v>
      </c>
    </row>
    <row r="53" spans="1:1" x14ac:dyDescent="0.25">
      <c r="A53" s="11" t="s">
        <v>24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14" t="s">
        <v>13</v>
      </c>
      <c r="D3" s="14" t="s">
        <v>53</v>
      </c>
      <c r="E3" s="15" t="s">
        <v>22</v>
      </c>
      <c r="G3" s="21" t="s">
        <v>26</v>
      </c>
      <c r="H3" s="21" t="s">
        <v>62</v>
      </c>
      <c r="I3" s="21" t="s">
        <v>78</v>
      </c>
      <c r="J3" s="21" t="s">
        <v>61</v>
      </c>
      <c r="K3" s="21" t="s">
        <v>79</v>
      </c>
    </row>
    <row r="4" spans="1:11" x14ac:dyDescent="0.25">
      <c r="A4" s="12" t="s">
        <v>18</v>
      </c>
      <c r="B4" s="13"/>
      <c r="D4" s="12" t="s">
        <v>68</v>
      </c>
      <c r="E4" s="68">
        <v>2015</v>
      </c>
      <c r="G4" s="19">
        <f>E4</f>
        <v>2015</v>
      </c>
      <c r="H4" s="59">
        <f t="shared" ref="H4:H24" si="0">IF($G4&lt;($G$4+$E$5),$E$17,0)</f>
        <v>0</v>
      </c>
      <c r="I4" s="58">
        <f>H4*$B$20/10^3</f>
        <v>0</v>
      </c>
      <c r="J4" s="59">
        <f t="shared" ref="J4:J24" si="1">IF($G4&lt;($G$4+$E$5),$E$18,0)</f>
        <v>0</v>
      </c>
      <c r="K4" s="58">
        <f>J4*$B$21/10^3</f>
        <v>0</v>
      </c>
    </row>
    <row r="5" spans="1:11" x14ac:dyDescent="0.25">
      <c r="A5" s="12" t="s">
        <v>19</v>
      </c>
      <c r="B5" s="13"/>
      <c r="D5" s="12" t="s">
        <v>57</v>
      </c>
      <c r="E5" s="16">
        <v>10</v>
      </c>
      <c r="G5" s="20">
        <f t="shared" ref="G5:G29" si="2">G4+1</f>
        <v>2016</v>
      </c>
      <c r="H5" s="59">
        <f t="shared" si="0"/>
        <v>0</v>
      </c>
      <c r="I5" s="60">
        <f t="shared" ref="I5:I24" si="3">H5*$B$20/10^3</f>
        <v>0</v>
      </c>
      <c r="J5" s="59">
        <f t="shared" si="1"/>
        <v>0</v>
      </c>
      <c r="K5" s="60">
        <f t="shared" ref="K5:K24" si="4">J5*$B$21/10^3</f>
        <v>0</v>
      </c>
    </row>
    <row r="6" spans="1:11" x14ac:dyDescent="0.25">
      <c r="A6" s="12" t="s">
        <v>58</v>
      </c>
      <c r="B6" s="13">
        <v>2</v>
      </c>
      <c r="D6" s="125" t="s">
        <v>55</v>
      </c>
      <c r="E6" s="126"/>
      <c r="G6" s="19">
        <f t="shared" si="2"/>
        <v>2017</v>
      </c>
      <c r="H6" s="59">
        <f t="shared" si="0"/>
        <v>0</v>
      </c>
      <c r="I6" s="58">
        <f t="shared" si="3"/>
        <v>0</v>
      </c>
      <c r="J6" s="59">
        <f t="shared" si="1"/>
        <v>0</v>
      </c>
      <c r="K6" s="58">
        <f t="shared" si="4"/>
        <v>0</v>
      </c>
    </row>
    <row r="7" spans="1:11" x14ac:dyDescent="0.25">
      <c r="A7" s="12" t="s">
        <v>71</v>
      </c>
      <c r="B7" s="31"/>
      <c r="D7" s="12" t="s">
        <v>54</v>
      </c>
      <c r="E7" s="16"/>
      <c r="G7" s="20">
        <f t="shared" si="2"/>
        <v>2018</v>
      </c>
      <c r="H7" s="59">
        <f t="shared" si="0"/>
        <v>0</v>
      </c>
      <c r="I7" s="60">
        <f t="shared" si="3"/>
        <v>0</v>
      </c>
      <c r="J7" s="59">
        <f t="shared" si="1"/>
        <v>0</v>
      </c>
      <c r="K7" s="60">
        <f t="shared" si="4"/>
        <v>0</v>
      </c>
    </row>
    <row r="8" spans="1:11" x14ac:dyDescent="0.25">
      <c r="A8" s="30" t="s">
        <v>72</v>
      </c>
      <c r="B8" s="31"/>
      <c r="D8" s="125" t="s">
        <v>56</v>
      </c>
      <c r="E8" s="126"/>
      <c r="G8" s="19">
        <f t="shared" si="2"/>
        <v>2019</v>
      </c>
      <c r="H8" s="59">
        <f t="shared" si="0"/>
        <v>0</v>
      </c>
      <c r="I8" s="58">
        <f t="shared" si="3"/>
        <v>0</v>
      </c>
      <c r="J8" s="59">
        <f t="shared" si="1"/>
        <v>0</v>
      </c>
      <c r="K8" s="58">
        <f t="shared" si="4"/>
        <v>0</v>
      </c>
    </row>
    <row r="9" spans="1:11" x14ac:dyDescent="0.25">
      <c r="D9" s="12" t="s">
        <v>59</v>
      </c>
      <c r="E9" s="16"/>
      <c r="G9" s="20">
        <f t="shared" si="2"/>
        <v>2020</v>
      </c>
      <c r="H9" s="59">
        <f t="shared" si="0"/>
        <v>0</v>
      </c>
      <c r="I9" s="60">
        <f t="shared" si="3"/>
        <v>0</v>
      </c>
      <c r="J9" s="59">
        <f t="shared" si="1"/>
        <v>0</v>
      </c>
      <c r="K9" s="60">
        <f t="shared" si="4"/>
        <v>0</v>
      </c>
    </row>
    <row r="10" spans="1:11" x14ac:dyDescent="0.25">
      <c r="A10" s="18" t="s">
        <v>31</v>
      </c>
      <c r="D10" s="12" t="s">
        <v>60</v>
      </c>
      <c r="E10" s="16"/>
      <c r="G10" s="19">
        <f t="shared" si="2"/>
        <v>2021</v>
      </c>
      <c r="H10" s="59">
        <f t="shared" si="0"/>
        <v>0</v>
      </c>
      <c r="I10" s="58">
        <f t="shared" si="3"/>
        <v>0</v>
      </c>
      <c r="J10" s="59">
        <f t="shared" si="1"/>
        <v>0</v>
      </c>
      <c r="K10" s="58">
        <f t="shared" si="4"/>
        <v>0</v>
      </c>
    </row>
    <row r="11" spans="1:11" x14ac:dyDescent="0.25">
      <c r="A11" s="17" t="s">
        <v>80</v>
      </c>
      <c r="B11" s="61">
        <f>(NPV($B$17,K4:K24)+NPV($B$17,I4:I24))/(1+$B$17)^2</f>
        <v>0</v>
      </c>
      <c r="G11" s="20">
        <f t="shared" si="2"/>
        <v>2022</v>
      </c>
      <c r="H11" s="59">
        <f t="shared" si="0"/>
        <v>0</v>
      </c>
      <c r="I11" s="60">
        <f t="shared" si="3"/>
        <v>0</v>
      </c>
      <c r="J11" s="59">
        <f t="shared" si="1"/>
        <v>0</v>
      </c>
      <c r="K11" s="60">
        <f t="shared" si="4"/>
        <v>0</v>
      </c>
    </row>
    <row r="12" spans="1:11" x14ac:dyDescent="0.25">
      <c r="A12" s="17" t="s">
        <v>30</v>
      </c>
      <c r="B12" s="62" t="e">
        <f>B11/B7</f>
        <v>#DIV/0!</v>
      </c>
      <c r="G12" s="19">
        <f t="shared" si="2"/>
        <v>2023</v>
      </c>
      <c r="H12" s="59">
        <f t="shared" si="0"/>
        <v>0</v>
      </c>
      <c r="I12" s="58">
        <f t="shared" si="3"/>
        <v>0</v>
      </c>
      <c r="J12" s="59">
        <f t="shared" si="1"/>
        <v>0</v>
      </c>
      <c r="K12" s="58">
        <f t="shared" si="4"/>
        <v>0</v>
      </c>
    </row>
    <row r="13" spans="1:11" x14ac:dyDescent="0.25">
      <c r="A13" s="17" t="s">
        <v>81</v>
      </c>
      <c r="B13" s="61" t="e">
        <f>B7*(B17/(1-(1+B17)^(-E5))/(SUM(H4:H29)+SUM(J4:J29)))</f>
        <v>#DIV/0!</v>
      </c>
      <c r="G13" s="20">
        <f t="shared" si="2"/>
        <v>2024</v>
      </c>
      <c r="H13" s="59">
        <f t="shared" si="0"/>
        <v>0</v>
      </c>
      <c r="I13" s="60">
        <f t="shared" si="3"/>
        <v>0</v>
      </c>
      <c r="J13" s="59">
        <f t="shared" si="1"/>
        <v>0</v>
      </c>
      <c r="K13" s="60">
        <f t="shared" si="4"/>
        <v>0</v>
      </c>
    </row>
    <row r="14" spans="1:11" x14ac:dyDescent="0.25">
      <c r="G14" s="19">
        <f>G13+1</f>
        <v>2025</v>
      </c>
      <c r="H14" s="59">
        <f t="shared" si="0"/>
        <v>0</v>
      </c>
      <c r="I14" s="58">
        <f t="shared" si="3"/>
        <v>0</v>
      </c>
      <c r="J14" s="59">
        <f t="shared" si="1"/>
        <v>0</v>
      </c>
      <c r="K14" s="58">
        <f t="shared" si="4"/>
        <v>0</v>
      </c>
    </row>
    <row r="15" spans="1:11" x14ac:dyDescent="0.25">
      <c r="A15" s="22" t="s">
        <v>14</v>
      </c>
      <c r="G15" s="20">
        <f t="shared" si="2"/>
        <v>2026</v>
      </c>
      <c r="H15" s="59">
        <f t="shared" si="0"/>
        <v>0</v>
      </c>
      <c r="I15" s="60">
        <f t="shared" si="3"/>
        <v>0</v>
      </c>
      <c r="J15" s="59">
        <f t="shared" si="1"/>
        <v>0</v>
      </c>
      <c r="K15" s="60">
        <f t="shared" si="4"/>
        <v>0</v>
      </c>
    </row>
    <row r="16" spans="1:11" x14ac:dyDescent="0.25">
      <c r="A16" s="23" t="s">
        <v>15</v>
      </c>
      <c r="B16" s="34">
        <v>2015</v>
      </c>
      <c r="D16" s="22" t="s">
        <v>28</v>
      </c>
      <c r="E16" s="32" t="s">
        <v>22</v>
      </c>
      <c r="G16" s="19">
        <f t="shared" si="2"/>
        <v>2027</v>
      </c>
      <c r="H16" s="59">
        <f t="shared" si="0"/>
        <v>0</v>
      </c>
      <c r="I16" s="58">
        <f t="shared" si="3"/>
        <v>0</v>
      </c>
      <c r="J16" s="59">
        <f t="shared" si="1"/>
        <v>0</v>
      </c>
      <c r="K16" s="58">
        <f t="shared" si="4"/>
        <v>0</v>
      </c>
    </row>
    <row r="17" spans="1:11" x14ac:dyDescent="0.25">
      <c r="A17" s="23" t="s">
        <v>16</v>
      </c>
      <c r="B17" s="24">
        <v>7.0000000000000007E-2</v>
      </c>
      <c r="D17" s="26" t="s">
        <v>59</v>
      </c>
      <c r="E17" s="55">
        <f>IF(E9,E9,$E$7*B18*$B$22/10^6)</f>
        <v>0</v>
      </c>
      <c r="G17" s="20">
        <f t="shared" si="2"/>
        <v>2028</v>
      </c>
      <c r="H17" s="59">
        <f t="shared" si="0"/>
        <v>0</v>
      </c>
      <c r="I17" s="60">
        <f t="shared" si="3"/>
        <v>0</v>
      </c>
      <c r="J17" s="59">
        <f t="shared" si="1"/>
        <v>0</v>
      </c>
      <c r="K17" s="60">
        <f t="shared" si="4"/>
        <v>0</v>
      </c>
    </row>
    <row r="18" spans="1:11" x14ac:dyDescent="0.25">
      <c r="A18" s="23" t="s">
        <v>51</v>
      </c>
      <c r="B18" s="66">
        <f>IF($B$6=2,'Assumed Values'!C21,0)</f>
        <v>0.32340150000000001</v>
      </c>
      <c r="D18" s="26" t="s">
        <v>60</v>
      </c>
      <c r="E18" s="55">
        <f>IF(E10,E10,$E$7*B19*$B$22/10^6)</f>
        <v>0</v>
      </c>
      <c r="G18" s="19">
        <f t="shared" si="2"/>
        <v>2029</v>
      </c>
      <c r="H18" s="59">
        <f t="shared" si="0"/>
        <v>0</v>
      </c>
      <c r="I18" s="58">
        <f t="shared" si="3"/>
        <v>0</v>
      </c>
      <c r="J18" s="59">
        <f t="shared" si="1"/>
        <v>0</v>
      </c>
      <c r="K18" s="58">
        <f t="shared" si="4"/>
        <v>0</v>
      </c>
    </row>
    <row r="19" spans="1:11" x14ac:dyDescent="0.25">
      <c r="A19" s="23" t="s">
        <v>52</v>
      </c>
      <c r="B19" s="66">
        <f>IF($B$6=2,'Assumed Values'!C22,0)</f>
        <v>0.19106300000000001</v>
      </c>
      <c r="G19" s="20">
        <f t="shared" si="2"/>
        <v>2030</v>
      </c>
      <c r="H19" s="59">
        <f t="shared" si="0"/>
        <v>0</v>
      </c>
      <c r="I19" s="60">
        <f t="shared" si="3"/>
        <v>0</v>
      </c>
      <c r="J19" s="59">
        <f t="shared" si="1"/>
        <v>0</v>
      </c>
      <c r="K19" s="60">
        <f t="shared" si="4"/>
        <v>0</v>
      </c>
    </row>
    <row r="20" spans="1:11" x14ac:dyDescent="0.25">
      <c r="A20" s="23" t="s">
        <v>86</v>
      </c>
      <c r="B20" s="57">
        <f>'Assumed Values'!C19</f>
        <v>2083.1541467275511</v>
      </c>
      <c r="G20" s="19">
        <f t="shared" si="2"/>
        <v>2031</v>
      </c>
      <c r="H20" s="59">
        <f t="shared" si="0"/>
        <v>0</v>
      </c>
      <c r="I20" s="58">
        <f t="shared" si="3"/>
        <v>0</v>
      </c>
      <c r="J20" s="59">
        <f t="shared" si="1"/>
        <v>0</v>
      </c>
      <c r="K20" s="58">
        <f t="shared" si="4"/>
        <v>0</v>
      </c>
    </row>
    <row r="21" spans="1:11" x14ac:dyDescent="0.25">
      <c r="A21" s="23" t="s">
        <v>87</v>
      </c>
      <c r="B21" s="57">
        <f>'Assumed Values'!C20</f>
        <v>8208.6069103416321</v>
      </c>
      <c r="G21" s="20">
        <f t="shared" si="2"/>
        <v>2032</v>
      </c>
      <c r="H21" s="59">
        <f t="shared" si="0"/>
        <v>0</v>
      </c>
      <c r="I21" s="60">
        <f t="shared" si="3"/>
        <v>0</v>
      </c>
      <c r="J21" s="59">
        <f t="shared" si="1"/>
        <v>0</v>
      </c>
      <c r="K21" s="60">
        <f t="shared" si="4"/>
        <v>0</v>
      </c>
    </row>
    <row r="22" spans="1:11" x14ac:dyDescent="0.25">
      <c r="A22" s="23" t="s">
        <v>29</v>
      </c>
      <c r="B22" s="23">
        <v>260</v>
      </c>
      <c r="G22" s="19">
        <f t="shared" si="2"/>
        <v>2033</v>
      </c>
      <c r="H22" s="59">
        <f t="shared" si="0"/>
        <v>0</v>
      </c>
      <c r="I22" s="58">
        <f t="shared" si="3"/>
        <v>0</v>
      </c>
      <c r="J22" s="59">
        <f t="shared" si="1"/>
        <v>0</v>
      </c>
      <c r="K22" s="58">
        <f t="shared" si="4"/>
        <v>0</v>
      </c>
    </row>
    <row r="23" spans="1:11" x14ac:dyDescent="0.25">
      <c r="G23" s="20">
        <f t="shared" si="2"/>
        <v>2034</v>
      </c>
      <c r="H23" s="59">
        <f t="shared" si="0"/>
        <v>0</v>
      </c>
      <c r="I23" s="60">
        <f t="shared" si="3"/>
        <v>0</v>
      </c>
      <c r="J23" s="59">
        <f t="shared" si="1"/>
        <v>0</v>
      </c>
      <c r="K23" s="60">
        <f t="shared" si="4"/>
        <v>0</v>
      </c>
    </row>
    <row r="24" spans="1:11" x14ac:dyDescent="0.25">
      <c r="G24" s="19">
        <f t="shared" si="2"/>
        <v>2035</v>
      </c>
      <c r="H24" s="59">
        <f t="shared" si="0"/>
        <v>0</v>
      </c>
      <c r="I24" s="58">
        <f t="shared" si="3"/>
        <v>0</v>
      </c>
      <c r="J24" s="59">
        <f t="shared" si="1"/>
        <v>0</v>
      </c>
      <c r="K24" s="58">
        <f t="shared" si="4"/>
        <v>0</v>
      </c>
    </row>
    <row r="25" spans="1:11" x14ac:dyDescent="0.25">
      <c r="G25" s="20">
        <f t="shared" si="2"/>
        <v>2036</v>
      </c>
      <c r="H25" s="59">
        <f t="shared" ref="H25:H28" si="5">IF($G25&lt;($G$4+$E$5),$E$17,0)</f>
        <v>0</v>
      </c>
      <c r="I25" s="60">
        <f t="shared" ref="I25:I29" si="6">H25*$B$20/10^3</f>
        <v>0</v>
      </c>
      <c r="J25" s="59">
        <f t="shared" ref="J25:J28" si="7">IF($G25&lt;($G$4+$E$5),$E$18,0)</f>
        <v>0</v>
      </c>
      <c r="K25" s="60">
        <f t="shared" ref="K25:K29" si="8">J25*$B$21/10^3</f>
        <v>0</v>
      </c>
    </row>
    <row r="26" spans="1:11" x14ac:dyDescent="0.25">
      <c r="G26" s="19">
        <f t="shared" si="2"/>
        <v>2037</v>
      </c>
      <c r="H26" s="59">
        <f t="shared" si="5"/>
        <v>0</v>
      </c>
      <c r="I26" s="58">
        <f t="shared" si="6"/>
        <v>0</v>
      </c>
      <c r="J26" s="59">
        <f t="shared" si="7"/>
        <v>0</v>
      </c>
      <c r="K26" s="58">
        <f t="shared" si="8"/>
        <v>0</v>
      </c>
    </row>
    <row r="27" spans="1:11" x14ac:dyDescent="0.25">
      <c r="G27" s="20">
        <f t="shared" si="2"/>
        <v>2038</v>
      </c>
      <c r="H27" s="59">
        <f t="shared" si="5"/>
        <v>0</v>
      </c>
      <c r="I27" s="60">
        <f t="shared" si="6"/>
        <v>0</v>
      </c>
      <c r="J27" s="59">
        <f t="shared" si="7"/>
        <v>0</v>
      </c>
      <c r="K27" s="60">
        <f t="shared" si="8"/>
        <v>0</v>
      </c>
    </row>
    <row r="28" spans="1:11" x14ac:dyDescent="0.25">
      <c r="G28" s="19">
        <f t="shared" si="2"/>
        <v>2039</v>
      </c>
      <c r="H28" s="59">
        <f t="shared" si="5"/>
        <v>0</v>
      </c>
      <c r="I28" s="58">
        <f t="shared" si="6"/>
        <v>0</v>
      </c>
      <c r="J28" s="59">
        <f t="shared" si="7"/>
        <v>0</v>
      </c>
      <c r="K28" s="58">
        <f t="shared" si="8"/>
        <v>0</v>
      </c>
    </row>
    <row r="29" spans="1:11" x14ac:dyDescent="0.25">
      <c r="G29" s="20">
        <f t="shared" si="2"/>
        <v>2040</v>
      </c>
      <c r="H29" s="59">
        <f>IF($G29&lt;($G$4+$E$5),$E$17,0)</f>
        <v>0</v>
      </c>
      <c r="I29" s="60">
        <f t="shared" si="6"/>
        <v>0</v>
      </c>
      <c r="J29" s="59">
        <f>IF($G29&lt;($G$4+$E$5),$E$18,0)</f>
        <v>0</v>
      </c>
      <c r="K29" s="60">
        <f t="shared" si="8"/>
        <v>0</v>
      </c>
    </row>
    <row r="31" spans="1:11" x14ac:dyDescent="0.25">
      <c r="A31" s="33"/>
    </row>
    <row r="53" spans="1:1" x14ac:dyDescent="0.25">
      <c r="A53" t="s">
        <v>23</v>
      </c>
    </row>
    <row r="54" spans="1:1" x14ac:dyDescent="0.25">
      <c r="A54" s="11" t="s">
        <v>25</v>
      </c>
    </row>
    <row r="55" spans="1:1" x14ac:dyDescent="0.25">
      <c r="A55" s="11" t="s">
        <v>24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8"/>
    <pageSetUpPr fitToPage="1"/>
  </sheetPr>
  <dimension ref="A3:H62"/>
  <sheetViews>
    <sheetView tabSelected="1" zoomScale="115" zoomScaleNormal="115" workbookViewId="0">
      <selection activeCell="B9" sqref="B9"/>
    </sheetView>
  </sheetViews>
  <sheetFormatPr defaultRowHeight="15" x14ac:dyDescent="0.25"/>
  <cols>
    <col min="1" max="1" width="45.140625" bestFit="1" customWidth="1"/>
    <col min="2" max="2" width="12.5703125" customWidth="1"/>
    <col min="3" max="3" width="5.28515625" customWidth="1"/>
    <col min="4" max="4" width="33.7109375" customWidth="1"/>
    <col min="5" max="5" width="8.7109375" customWidth="1"/>
    <col min="6" max="6" width="9.140625" customWidth="1"/>
    <col min="7" max="7" width="8.7109375" customWidth="1"/>
    <col min="8" max="8" width="10.85546875" customWidth="1"/>
  </cols>
  <sheetData>
    <row r="3" spans="1:8" ht="18.75" x14ac:dyDescent="0.3">
      <c r="A3" s="92" t="s">
        <v>138</v>
      </c>
      <c r="B3" s="93"/>
      <c r="C3" s="93"/>
      <c r="D3" s="93"/>
      <c r="E3" s="93"/>
      <c r="F3" s="93"/>
      <c r="G3" s="93"/>
      <c r="H3" s="93"/>
    </row>
    <row r="5" spans="1:8" x14ac:dyDescent="0.25">
      <c r="A5" s="14" t="s">
        <v>309</v>
      </c>
    </row>
    <row r="6" spans="1:8" x14ac:dyDescent="0.25">
      <c r="A6" s="12" t="s">
        <v>18</v>
      </c>
      <c r="B6" s="13" t="s">
        <v>368</v>
      </c>
      <c r="D6" s="115" t="s">
        <v>307</v>
      </c>
      <c r="E6" s="116"/>
      <c r="F6" s="116"/>
    </row>
    <row r="7" spans="1:8" x14ac:dyDescent="0.25">
      <c r="A7" s="12" t="s">
        <v>118</v>
      </c>
      <c r="B7" s="13">
        <v>300411</v>
      </c>
    </row>
    <row r="8" spans="1:8" x14ac:dyDescent="0.25">
      <c r="A8" s="12" t="s">
        <v>119</v>
      </c>
      <c r="B8" s="13" t="s">
        <v>329</v>
      </c>
    </row>
    <row r="9" spans="1:8" x14ac:dyDescent="0.25">
      <c r="D9" s="110" t="s">
        <v>300</v>
      </c>
      <c r="E9" s="111">
        <v>2011</v>
      </c>
      <c r="F9" s="111">
        <v>2012</v>
      </c>
      <c r="G9" s="111">
        <v>2013</v>
      </c>
      <c r="H9" s="111" t="s">
        <v>304</v>
      </c>
    </row>
    <row r="10" spans="1:8" x14ac:dyDescent="0.25">
      <c r="A10" s="14" t="s">
        <v>308</v>
      </c>
      <c r="D10" s="113" t="s">
        <v>145</v>
      </c>
      <c r="E10" s="114">
        <v>0</v>
      </c>
      <c r="F10" s="114">
        <v>0</v>
      </c>
      <c r="G10" s="114">
        <v>0</v>
      </c>
      <c r="H10" s="112">
        <f>AVERAGE(E10:G10)</f>
        <v>0</v>
      </c>
    </row>
    <row r="11" spans="1:8" x14ac:dyDescent="0.25">
      <c r="A11" s="12" t="s">
        <v>318</v>
      </c>
      <c r="B11" s="68">
        <v>2018</v>
      </c>
      <c r="D11" s="113" t="s">
        <v>151</v>
      </c>
      <c r="E11" s="114">
        <v>0</v>
      </c>
      <c r="F11" s="114">
        <v>0</v>
      </c>
      <c r="G11" s="114">
        <v>0</v>
      </c>
      <c r="H11" s="112">
        <f>AVERAGE(E11:G11)</f>
        <v>0</v>
      </c>
    </row>
    <row r="12" spans="1:8" x14ac:dyDescent="0.25">
      <c r="A12" s="12" t="s">
        <v>320</v>
      </c>
      <c r="B12" s="108">
        <v>0.25</v>
      </c>
      <c r="D12" s="113" t="s">
        <v>150</v>
      </c>
      <c r="E12" s="114">
        <v>1</v>
      </c>
      <c r="F12" s="114">
        <v>0</v>
      </c>
      <c r="G12" s="114">
        <v>1</v>
      </c>
      <c r="H12" s="112">
        <f t="shared" ref="H12:H15" si="0">AVERAGE(E12:G12)</f>
        <v>0.66666666666666663</v>
      </c>
    </row>
    <row r="13" spans="1:8" x14ac:dyDescent="0.25">
      <c r="A13" s="12" t="s">
        <v>319</v>
      </c>
      <c r="B13" s="68">
        <v>10</v>
      </c>
      <c r="D13" s="113" t="s">
        <v>149</v>
      </c>
      <c r="E13" s="114">
        <v>2</v>
      </c>
      <c r="F13" s="114">
        <v>0</v>
      </c>
      <c r="G13" s="114">
        <v>2</v>
      </c>
      <c r="H13" s="112">
        <f t="shared" si="0"/>
        <v>1.3333333333333333</v>
      </c>
    </row>
    <row r="14" spans="1:8" x14ac:dyDescent="0.25">
      <c r="D14" s="113" t="s">
        <v>148</v>
      </c>
      <c r="E14" s="114">
        <v>6</v>
      </c>
      <c r="F14" s="114">
        <v>1</v>
      </c>
      <c r="G14" s="114">
        <v>25</v>
      </c>
      <c r="H14" s="112">
        <f t="shared" si="0"/>
        <v>10.666666666666666</v>
      </c>
    </row>
    <row r="15" spans="1:8" x14ac:dyDescent="0.25">
      <c r="A15" s="14" t="s">
        <v>120</v>
      </c>
      <c r="B15" s="15" t="s">
        <v>22</v>
      </c>
      <c r="D15" s="113" t="s">
        <v>147</v>
      </c>
      <c r="E15" s="114">
        <v>3</v>
      </c>
      <c r="F15" s="114">
        <v>1</v>
      </c>
      <c r="G15" s="114">
        <v>2</v>
      </c>
      <c r="H15" s="112">
        <f t="shared" si="0"/>
        <v>2</v>
      </c>
    </row>
    <row r="16" spans="1:8" x14ac:dyDescent="0.25">
      <c r="A16" s="12" t="s">
        <v>127</v>
      </c>
      <c r="B16" s="16">
        <v>400</v>
      </c>
    </row>
    <row r="17" spans="1:8" x14ac:dyDescent="0.25">
      <c r="A17" s="12" t="s">
        <v>128</v>
      </c>
      <c r="B17" s="16">
        <v>9750</v>
      </c>
    </row>
    <row r="18" spans="1:8" x14ac:dyDescent="0.25">
      <c r="A18" s="96" t="s">
        <v>112</v>
      </c>
      <c r="B18" s="97">
        <v>400</v>
      </c>
    </row>
    <row r="19" spans="1:8" x14ac:dyDescent="0.25">
      <c r="A19" s="96" t="s">
        <v>113</v>
      </c>
      <c r="B19" s="97">
        <f>+_2018_Capacity</f>
        <v>9750</v>
      </c>
    </row>
    <row r="20" spans="1:8" x14ac:dyDescent="0.25">
      <c r="A20" s="12" t="s">
        <v>69</v>
      </c>
      <c r="B20" s="16">
        <v>800</v>
      </c>
    </row>
    <row r="21" spans="1:8" x14ac:dyDescent="0.25">
      <c r="A21" s="12" t="s">
        <v>70</v>
      </c>
      <c r="B21" s="16">
        <f>+_2025_Capacity</f>
        <v>9750</v>
      </c>
    </row>
    <row r="26" spans="1:8" ht="18.75" x14ac:dyDescent="0.3">
      <c r="A26" s="92" t="s">
        <v>139</v>
      </c>
      <c r="B26" s="93"/>
      <c r="C26" s="93"/>
      <c r="D26" s="93"/>
      <c r="E26" s="93"/>
      <c r="F26" s="93"/>
      <c r="G26" s="93"/>
      <c r="H26" s="93"/>
    </row>
    <row r="28" spans="1:8" x14ac:dyDescent="0.25">
      <c r="A28" s="18" t="s">
        <v>137</v>
      </c>
    </row>
    <row r="29" spans="1:8" x14ac:dyDescent="0.25">
      <c r="A29" s="17" t="s">
        <v>305</v>
      </c>
      <c r="B29" s="65">
        <f>NPV(7%,Value_of_Delay_Savings__2015_____000s)/(1+7%)^(2018-2015-1)</f>
        <v>723.6834391118233</v>
      </c>
      <c r="C29" s="95"/>
    </row>
    <row r="30" spans="1:8" x14ac:dyDescent="0.25">
      <c r="A30" s="17" t="s">
        <v>306</v>
      </c>
      <c r="B30" s="65">
        <f>NPV(3%,Value_of_Delay_Savings__2015_____000s)/(1+3%)^(2018-2015-1)</f>
        <v>950.41143925618201</v>
      </c>
      <c r="C30" s="95"/>
    </row>
    <row r="38" spans="1:1" x14ac:dyDescent="0.25">
      <c r="A38" s="33"/>
    </row>
    <row r="61" spans="1:1" x14ac:dyDescent="0.25">
      <c r="A61" s="11"/>
    </row>
    <row r="62" spans="1:1" x14ac:dyDescent="0.25">
      <c r="A62" s="11"/>
    </row>
  </sheetData>
  <pageMargins left="0.25" right="0.25" top="0.75" bottom="0.75" header="0.3" footer="0.3"/>
  <pageSetup scale="9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Crash_Hist_Macro">
                <anchor moveWithCells="1" sizeWithCells="1">
                  <from>
                    <xdr:col>4</xdr:col>
                    <xdr:colOff>0</xdr:colOff>
                    <xdr:row>5</xdr:row>
                    <xdr:rowOff>28575</xdr:rowOff>
                  </from>
                  <to>
                    <xdr:col>4</xdr:col>
                    <xdr:colOff>828675</xdr:colOff>
                    <xdr:row>6</xdr:row>
                    <xdr:rowOff>0</xdr:rowOff>
                  </to>
                </anchor>
              </controlPr>
            </control>
          </mc:Choice>
        </mc:AlternateContent>
        <mc:AlternateContent xmlns:mc="http://schemas.openxmlformats.org/markup-compatibility/2006">
          <mc:Choice Requires="x14">
            <control shapeId="6146" r:id="rId5" name="Button 2">
              <controlPr defaultSize="0" print="0" autoFill="0" autoPict="0" macro="[0]!Crash_Hist_Macro">
                <anchor moveWithCells="1" sizeWithCells="1">
                  <from>
                    <xdr:col>4</xdr:col>
                    <xdr:colOff>0</xdr:colOff>
                    <xdr:row>5</xdr:row>
                    <xdr:rowOff>19050</xdr:rowOff>
                  </from>
                  <to>
                    <xdr:col>4</xdr:col>
                    <xdr:colOff>828675</xdr:colOff>
                    <xdr:row>5</xdr:row>
                    <xdr:rowOff>180975</xdr:rowOff>
                  </to>
                </anchor>
              </controlPr>
            </control>
          </mc:Choice>
        </mc:AlternateContent>
        <mc:AlternateContent xmlns:mc="http://schemas.openxmlformats.org/markup-compatibility/2006">
          <mc:Choice Requires="x14">
            <control shapeId="6149" r:id="rId6" name="Button 5">
              <controlPr defaultSize="0" print="0" autoFill="0" autoPict="0" macro="[0]!Crash_Hist_Reset_Macro">
                <anchor moveWithCells="1" sizeWithCells="1">
                  <from>
                    <xdr:col>5</xdr:col>
                    <xdr:colOff>19050</xdr:colOff>
                    <xdr:row>5</xdr:row>
                    <xdr:rowOff>19050</xdr:rowOff>
                  </from>
                  <to>
                    <xdr:col>5</xdr:col>
                    <xdr:colOff>600075</xdr:colOff>
                    <xdr:row>5</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59999389629810485"/>
  </sheetPr>
  <dimension ref="A1:FD38"/>
  <sheetViews>
    <sheetView workbookViewId="0">
      <selection activeCell="A2" sqref="A2"/>
    </sheetView>
  </sheetViews>
  <sheetFormatPr defaultRowHeight="15" x14ac:dyDescent="0.25"/>
  <cols>
    <col min="38" max="38" width="24" bestFit="1" customWidth="1"/>
  </cols>
  <sheetData>
    <row r="1" spans="1:160" x14ac:dyDescent="0.25">
      <c r="A1" t="s">
        <v>299</v>
      </c>
      <c r="B1" t="s">
        <v>298</v>
      </c>
      <c r="C1" t="s">
        <v>297</v>
      </c>
      <c r="D1" t="s">
        <v>296</v>
      </c>
      <c r="E1" t="s">
        <v>295</v>
      </c>
      <c r="F1" t="s">
        <v>294</v>
      </c>
      <c r="G1" t="s">
        <v>293</v>
      </c>
      <c r="H1" t="s">
        <v>292</v>
      </c>
      <c r="I1" t="s">
        <v>291</v>
      </c>
      <c r="J1" t="s">
        <v>290</v>
      </c>
      <c r="K1" t="s">
        <v>289</v>
      </c>
      <c r="L1" t="s">
        <v>288</v>
      </c>
      <c r="M1" t="s">
        <v>287</v>
      </c>
      <c r="N1" t="s">
        <v>286</v>
      </c>
      <c r="O1" t="s">
        <v>285</v>
      </c>
      <c r="P1" t="s">
        <v>284</v>
      </c>
      <c r="Q1" t="s">
        <v>283</v>
      </c>
      <c r="R1" t="s">
        <v>282</v>
      </c>
      <c r="S1" t="s">
        <v>281</v>
      </c>
      <c r="T1" t="s">
        <v>280</v>
      </c>
      <c r="U1" t="s">
        <v>279</v>
      </c>
      <c r="V1" t="s">
        <v>278</v>
      </c>
      <c r="W1" t="s">
        <v>277</v>
      </c>
      <c r="X1" t="s">
        <v>276</v>
      </c>
      <c r="Y1" t="s">
        <v>275</v>
      </c>
      <c r="Z1" t="s">
        <v>274</v>
      </c>
      <c r="AA1" t="s">
        <v>273</v>
      </c>
      <c r="AB1" t="s">
        <v>272</v>
      </c>
      <c r="AC1" t="s">
        <v>271</v>
      </c>
      <c r="AD1" t="s">
        <v>270</v>
      </c>
      <c r="AE1" t="s">
        <v>269</v>
      </c>
      <c r="AF1" t="s">
        <v>268</v>
      </c>
      <c r="AG1" t="s">
        <v>267</v>
      </c>
      <c r="AH1" t="s">
        <v>266</v>
      </c>
      <c r="AI1" t="s">
        <v>265</v>
      </c>
      <c r="AJ1" t="s">
        <v>264</v>
      </c>
      <c r="AK1" t="s">
        <v>263</v>
      </c>
      <c r="AL1" t="s">
        <v>262</v>
      </c>
      <c r="AM1" t="s">
        <v>261</v>
      </c>
      <c r="AN1" t="s">
        <v>260</v>
      </c>
      <c r="AO1" t="s">
        <v>259</v>
      </c>
      <c r="AP1" t="s">
        <v>258</v>
      </c>
      <c r="AQ1" t="s">
        <v>257</v>
      </c>
      <c r="AR1" t="s">
        <v>256</v>
      </c>
      <c r="AS1" t="s">
        <v>255</v>
      </c>
      <c r="AT1" t="s">
        <v>254</v>
      </c>
      <c r="AU1" t="s">
        <v>253</v>
      </c>
      <c r="AV1" t="s">
        <v>252</v>
      </c>
      <c r="AW1" t="s">
        <v>251</v>
      </c>
      <c r="AX1" t="s">
        <v>250</v>
      </c>
      <c r="AY1" t="s">
        <v>249</v>
      </c>
      <c r="AZ1" t="s">
        <v>248</v>
      </c>
      <c r="BA1" t="s">
        <v>247</v>
      </c>
      <c r="BB1" t="s">
        <v>246</v>
      </c>
      <c r="BC1" t="s">
        <v>245</v>
      </c>
      <c r="BD1" t="s">
        <v>244</v>
      </c>
      <c r="BE1" t="s">
        <v>243</v>
      </c>
      <c r="BF1" t="s">
        <v>242</v>
      </c>
      <c r="BG1" t="s">
        <v>241</v>
      </c>
      <c r="BH1" t="s">
        <v>240</v>
      </c>
      <c r="BI1" t="s">
        <v>239</v>
      </c>
      <c r="BJ1" t="s">
        <v>238</v>
      </c>
      <c r="BK1" t="s">
        <v>237</v>
      </c>
      <c r="BL1" t="s">
        <v>236</v>
      </c>
      <c r="BM1" t="s">
        <v>235</v>
      </c>
      <c r="BN1" t="s">
        <v>234</v>
      </c>
      <c r="BO1" t="s">
        <v>233</v>
      </c>
      <c r="BP1" t="s">
        <v>232</v>
      </c>
      <c r="BQ1" t="s">
        <v>231</v>
      </c>
      <c r="BR1" t="s">
        <v>230</v>
      </c>
      <c r="BS1" t="s">
        <v>229</v>
      </c>
      <c r="BT1" t="s">
        <v>228</v>
      </c>
      <c r="BU1" t="s">
        <v>227</v>
      </c>
      <c r="BV1" t="s">
        <v>226</v>
      </c>
      <c r="BW1" t="s">
        <v>225</v>
      </c>
      <c r="BX1" t="s">
        <v>224</v>
      </c>
      <c r="BY1" t="s">
        <v>223</v>
      </c>
      <c r="BZ1" t="s">
        <v>222</v>
      </c>
      <c r="CA1" t="s">
        <v>221</v>
      </c>
      <c r="CB1" t="s">
        <v>220</v>
      </c>
      <c r="CC1" t="s">
        <v>219</v>
      </c>
      <c r="CD1" t="s">
        <v>218</v>
      </c>
      <c r="CE1" t="s">
        <v>217</v>
      </c>
      <c r="CF1" t="s">
        <v>216</v>
      </c>
      <c r="CG1" t="s">
        <v>215</v>
      </c>
      <c r="CH1" t="s">
        <v>214</v>
      </c>
      <c r="CI1" t="s">
        <v>213</v>
      </c>
      <c r="CJ1" t="s">
        <v>212</v>
      </c>
      <c r="CK1" t="s">
        <v>211</v>
      </c>
      <c r="CL1" t="s">
        <v>210</v>
      </c>
      <c r="CM1" t="s">
        <v>209</v>
      </c>
      <c r="CN1" t="s">
        <v>208</v>
      </c>
      <c r="CO1" t="s">
        <v>207</v>
      </c>
      <c r="CP1" t="s">
        <v>206</v>
      </c>
      <c r="CQ1" t="s">
        <v>205</v>
      </c>
      <c r="CR1" t="s">
        <v>204</v>
      </c>
      <c r="CS1" t="s">
        <v>203</v>
      </c>
      <c r="CT1" t="s">
        <v>202</v>
      </c>
      <c r="CU1" t="s">
        <v>201</v>
      </c>
      <c r="CV1" t="s">
        <v>200</v>
      </c>
      <c r="CW1" t="s">
        <v>199</v>
      </c>
      <c r="CX1" t="s">
        <v>198</v>
      </c>
      <c r="CY1" t="s">
        <v>197</v>
      </c>
      <c r="CZ1" t="s">
        <v>196</v>
      </c>
      <c r="DA1" t="s">
        <v>195</v>
      </c>
      <c r="DB1" t="s">
        <v>194</v>
      </c>
      <c r="DC1" t="s">
        <v>193</v>
      </c>
      <c r="DD1" t="s">
        <v>192</v>
      </c>
      <c r="DE1" t="s">
        <v>191</v>
      </c>
      <c r="DF1" t="s">
        <v>190</v>
      </c>
      <c r="DG1" t="s">
        <v>189</v>
      </c>
      <c r="DH1" t="s">
        <v>188</v>
      </c>
      <c r="DI1" t="s">
        <v>187</v>
      </c>
      <c r="DJ1" t="s">
        <v>186</v>
      </c>
      <c r="DK1" t="s">
        <v>185</v>
      </c>
      <c r="DL1" t="s">
        <v>184</v>
      </c>
      <c r="DM1" t="s">
        <v>183</v>
      </c>
      <c r="DN1" t="s">
        <v>182</v>
      </c>
      <c r="DO1" t="s">
        <v>181</v>
      </c>
      <c r="DP1" t="s">
        <v>180</v>
      </c>
      <c r="DQ1" t="s">
        <v>179</v>
      </c>
      <c r="DR1" t="s">
        <v>178</v>
      </c>
      <c r="DS1" t="s">
        <v>177</v>
      </c>
      <c r="DT1" t="s">
        <v>176</v>
      </c>
      <c r="DU1" t="s">
        <v>175</v>
      </c>
      <c r="DV1" t="s">
        <v>174</v>
      </c>
      <c r="DW1" t="s">
        <v>173</v>
      </c>
      <c r="DX1" t="s">
        <v>172</v>
      </c>
      <c r="DY1" t="s">
        <v>171</v>
      </c>
      <c r="DZ1" t="s">
        <v>170</v>
      </c>
      <c r="EA1" t="s">
        <v>169</v>
      </c>
      <c r="EB1" t="s">
        <v>168</v>
      </c>
      <c r="EC1" t="s">
        <v>167</v>
      </c>
      <c r="ED1" t="s">
        <v>166</v>
      </c>
      <c r="EE1" t="s">
        <v>165</v>
      </c>
      <c r="EF1" t="s">
        <v>164</v>
      </c>
      <c r="EG1" t="s">
        <v>163</v>
      </c>
      <c r="EH1" t="s">
        <v>162</v>
      </c>
      <c r="EI1" t="s">
        <v>161</v>
      </c>
      <c r="EJ1" t="s">
        <v>160</v>
      </c>
      <c r="EK1" t="s">
        <v>159</v>
      </c>
      <c r="EL1" t="s">
        <v>158</v>
      </c>
      <c r="EM1" t="s">
        <v>157</v>
      </c>
      <c r="EN1" t="s">
        <v>156</v>
      </c>
      <c r="EO1" t="s">
        <v>155</v>
      </c>
      <c r="EP1" t="s">
        <v>154</v>
      </c>
      <c r="EQ1" t="s">
        <v>153</v>
      </c>
      <c r="ER1" t="s">
        <v>152</v>
      </c>
      <c r="ES1" t="s">
        <v>151</v>
      </c>
      <c r="ET1" t="s">
        <v>150</v>
      </c>
      <c r="EU1" t="s">
        <v>149</v>
      </c>
      <c r="EV1" t="s">
        <v>148</v>
      </c>
      <c r="EW1" t="s">
        <v>147</v>
      </c>
      <c r="EX1" t="s">
        <v>146</v>
      </c>
      <c r="EY1" t="s">
        <v>145</v>
      </c>
      <c r="EZ1" t="s">
        <v>26</v>
      </c>
      <c r="FA1" t="s">
        <v>321</v>
      </c>
      <c r="FB1" t="s">
        <v>322</v>
      </c>
      <c r="FC1" t="s">
        <v>323</v>
      </c>
      <c r="FD1" t="s">
        <v>324</v>
      </c>
    </row>
    <row r="2" spans="1:160" x14ac:dyDescent="0.25">
      <c r="A2">
        <v>10898680</v>
      </c>
      <c r="B2" t="s">
        <v>141</v>
      </c>
      <c r="C2" t="s">
        <v>141</v>
      </c>
      <c r="F2" t="s">
        <v>141</v>
      </c>
      <c r="G2" t="s">
        <v>141</v>
      </c>
      <c r="I2" s="99">
        <v>40014</v>
      </c>
      <c r="J2" s="98">
        <v>0.9</v>
      </c>
      <c r="L2">
        <v>20</v>
      </c>
      <c r="M2">
        <v>1585</v>
      </c>
      <c r="N2" t="s">
        <v>142</v>
      </c>
      <c r="O2" t="s">
        <v>142</v>
      </c>
      <c r="U2">
        <v>1</v>
      </c>
      <c r="W2" t="s">
        <v>325</v>
      </c>
      <c r="X2" t="s">
        <v>326</v>
      </c>
      <c r="AC2" t="s">
        <v>141</v>
      </c>
      <c r="AD2" t="s">
        <v>141</v>
      </c>
      <c r="AE2" t="s">
        <v>141</v>
      </c>
      <c r="AK2" t="s">
        <v>325</v>
      </c>
      <c r="AL2" t="s">
        <v>327</v>
      </c>
      <c r="AS2">
        <v>1</v>
      </c>
      <c r="AT2">
        <v>1</v>
      </c>
      <c r="AU2">
        <v>0</v>
      </c>
      <c r="AW2">
        <v>1</v>
      </c>
      <c r="AX2">
        <v>1</v>
      </c>
      <c r="AY2">
        <v>11</v>
      </c>
      <c r="AZ2">
        <v>5</v>
      </c>
      <c r="BA2">
        <v>8</v>
      </c>
      <c r="BB2">
        <v>2</v>
      </c>
      <c r="BC2">
        <v>3</v>
      </c>
      <c r="BD2">
        <v>20</v>
      </c>
      <c r="BE2">
        <v>30</v>
      </c>
      <c r="BF2">
        <v>46</v>
      </c>
      <c r="BG2">
        <v>1</v>
      </c>
      <c r="BH2">
        <v>4</v>
      </c>
      <c r="BI2">
        <v>1</v>
      </c>
      <c r="BJ2">
        <v>1</v>
      </c>
      <c r="BK2">
        <v>21</v>
      </c>
      <c r="BL2">
        <v>20</v>
      </c>
      <c r="BM2">
        <v>1585</v>
      </c>
      <c r="BN2">
        <v>29.121568889999999</v>
      </c>
      <c r="BO2">
        <v>-95.430201249999996</v>
      </c>
      <c r="BT2" t="s">
        <v>328</v>
      </c>
      <c r="BU2">
        <v>6309</v>
      </c>
      <c r="CD2" t="s">
        <v>329</v>
      </c>
      <c r="CI2" t="s">
        <v>142</v>
      </c>
      <c r="CJ2" t="s">
        <v>141</v>
      </c>
      <c r="CK2" t="s">
        <v>142</v>
      </c>
      <c r="CL2">
        <v>3</v>
      </c>
      <c r="CM2">
        <v>0</v>
      </c>
      <c r="CN2" t="s">
        <v>142</v>
      </c>
      <c r="CO2" t="s">
        <v>140</v>
      </c>
      <c r="ES2">
        <v>0</v>
      </c>
      <c r="ET2">
        <v>0</v>
      </c>
      <c r="EU2">
        <v>2</v>
      </c>
      <c r="EV2">
        <v>1</v>
      </c>
      <c r="EW2">
        <v>0</v>
      </c>
      <c r="EX2">
        <v>2</v>
      </c>
      <c r="EY2">
        <v>0</v>
      </c>
      <c r="EZ2">
        <v>2009</v>
      </c>
      <c r="FA2">
        <v>2009</v>
      </c>
      <c r="FB2">
        <v>20</v>
      </c>
      <c r="FD2" t="s">
        <v>326</v>
      </c>
    </row>
    <row r="3" spans="1:160" x14ac:dyDescent="0.25">
      <c r="A3">
        <v>10846154</v>
      </c>
      <c r="B3" t="s">
        <v>141</v>
      </c>
      <c r="C3" t="s">
        <v>141</v>
      </c>
      <c r="F3" t="s">
        <v>141</v>
      </c>
      <c r="G3" t="s">
        <v>141</v>
      </c>
      <c r="I3" s="99">
        <v>39967</v>
      </c>
      <c r="J3" s="98">
        <v>0.87569444444444444</v>
      </c>
      <c r="L3">
        <v>20</v>
      </c>
      <c r="M3">
        <v>1585</v>
      </c>
      <c r="N3" t="s">
        <v>142</v>
      </c>
      <c r="O3" t="s">
        <v>142</v>
      </c>
      <c r="U3">
        <v>1</v>
      </c>
      <c r="W3" t="s">
        <v>325</v>
      </c>
      <c r="X3" t="s">
        <v>326</v>
      </c>
      <c r="AC3" t="s">
        <v>141</v>
      </c>
      <c r="AD3" t="s">
        <v>141</v>
      </c>
      <c r="AE3" t="s">
        <v>141</v>
      </c>
      <c r="AK3" t="s">
        <v>325</v>
      </c>
      <c r="AL3" t="s">
        <v>327</v>
      </c>
      <c r="AS3">
        <v>1</v>
      </c>
      <c r="AT3">
        <v>3</v>
      </c>
      <c r="AU3">
        <v>0</v>
      </c>
      <c r="AW3">
        <v>5</v>
      </c>
      <c r="AX3">
        <v>1</v>
      </c>
      <c r="AY3">
        <v>11</v>
      </c>
      <c r="AZ3">
        <v>5</v>
      </c>
      <c r="BA3">
        <v>8</v>
      </c>
      <c r="BB3">
        <v>7</v>
      </c>
      <c r="BC3">
        <v>4</v>
      </c>
      <c r="BD3">
        <v>1</v>
      </c>
      <c r="BE3">
        <v>36</v>
      </c>
      <c r="BF3">
        <v>54</v>
      </c>
      <c r="BG3">
        <v>1</v>
      </c>
      <c r="BH3">
        <v>4</v>
      </c>
      <c r="BI3">
        <v>2</v>
      </c>
      <c r="BJ3">
        <v>17</v>
      </c>
      <c r="BK3">
        <v>21</v>
      </c>
      <c r="BL3">
        <v>20</v>
      </c>
      <c r="BM3">
        <v>1585</v>
      </c>
      <c r="BN3">
        <v>29.121568889999999</v>
      </c>
      <c r="BO3">
        <v>-95.430201249999996</v>
      </c>
      <c r="BT3" t="s">
        <v>328</v>
      </c>
      <c r="BU3">
        <v>6309</v>
      </c>
      <c r="CD3" t="s">
        <v>329</v>
      </c>
      <c r="CI3" t="s">
        <v>142</v>
      </c>
      <c r="CJ3" t="s">
        <v>141</v>
      </c>
      <c r="CK3" t="s">
        <v>142</v>
      </c>
      <c r="CL3">
        <v>5</v>
      </c>
      <c r="CM3">
        <v>0</v>
      </c>
      <c r="CN3" t="s">
        <v>142</v>
      </c>
      <c r="CO3" t="s">
        <v>330</v>
      </c>
      <c r="ES3">
        <v>0</v>
      </c>
      <c r="ET3">
        <v>0</v>
      </c>
      <c r="EU3">
        <v>0</v>
      </c>
      <c r="EV3">
        <v>3</v>
      </c>
      <c r="EW3">
        <v>1</v>
      </c>
      <c r="EX3">
        <v>0</v>
      </c>
      <c r="EY3">
        <v>0</v>
      </c>
      <c r="EZ3">
        <v>2009</v>
      </c>
      <c r="FA3">
        <v>2009</v>
      </c>
      <c r="FB3">
        <v>20</v>
      </c>
      <c r="FD3" t="s">
        <v>326</v>
      </c>
    </row>
    <row r="4" spans="1:160" x14ac:dyDescent="0.25">
      <c r="A4">
        <v>10895513</v>
      </c>
      <c r="B4" t="s">
        <v>141</v>
      </c>
      <c r="C4" t="s">
        <v>141</v>
      </c>
      <c r="F4" t="s">
        <v>141</v>
      </c>
      <c r="G4" t="s">
        <v>141</v>
      </c>
      <c r="I4" s="99">
        <v>40012</v>
      </c>
      <c r="J4" s="98">
        <v>0.21319444444444444</v>
      </c>
      <c r="L4">
        <v>20</v>
      </c>
      <c r="M4">
        <v>1585</v>
      </c>
      <c r="N4" t="s">
        <v>142</v>
      </c>
      <c r="O4" t="s">
        <v>142</v>
      </c>
      <c r="U4">
        <v>1</v>
      </c>
      <c r="V4">
        <v>6138</v>
      </c>
      <c r="W4" t="s">
        <v>325</v>
      </c>
      <c r="X4" t="s">
        <v>326</v>
      </c>
      <c r="AC4" t="s">
        <v>141</v>
      </c>
      <c r="AD4" t="s">
        <v>141</v>
      </c>
      <c r="AE4" t="s">
        <v>141</v>
      </c>
      <c r="AK4" t="s">
        <v>325</v>
      </c>
      <c r="AL4" t="s">
        <v>331</v>
      </c>
      <c r="AS4">
        <v>0</v>
      </c>
      <c r="AT4">
        <v>0</v>
      </c>
      <c r="AU4">
        <v>0</v>
      </c>
      <c r="AW4">
        <v>5</v>
      </c>
      <c r="AX4">
        <v>0</v>
      </c>
      <c r="AY4">
        <v>1</v>
      </c>
      <c r="AZ4">
        <v>2</v>
      </c>
      <c r="BA4">
        <v>8</v>
      </c>
      <c r="BB4">
        <v>7</v>
      </c>
      <c r="BC4">
        <v>4</v>
      </c>
      <c r="BD4">
        <v>1</v>
      </c>
      <c r="BE4">
        <v>23</v>
      </c>
      <c r="BF4">
        <v>54</v>
      </c>
      <c r="BG4">
        <v>1</v>
      </c>
      <c r="BH4">
        <v>4</v>
      </c>
      <c r="BI4">
        <v>2</v>
      </c>
      <c r="BJ4">
        <v>21</v>
      </c>
      <c r="BK4">
        <v>21</v>
      </c>
      <c r="BL4">
        <v>20</v>
      </c>
      <c r="BM4">
        <v>1585</v>
      </c>
      <c r="BN4">
        <v>29.113058089999999</v>
      </c>
      <c r="BO4">
        <v>-95.429642900000005</v>
      </c>
      <c r="BT4" t="s">
        <v>332</v>
      </c>
      <c r="BU4">
        <v>6045</v>
      </c>
      <c r="CD4" t="s">
        <v>329</v>
      </c>
      <c r="CI4" t="s">
        <v>142</v>
      </c>
      <c r="CJ4" t="s">
        <v>141</v>
      </c>
      <c r="CK4" t="s">
        <v>142</v>
      </c>
      <c r="CL4">
        <v>5</v>
      </c>
      <c r="CM4">
        <v>0</v>
      </c>
      <c r="CN4" t="s">
        <v>142</v>
      </c>
      <c r="CO4" t="s">
        <v>144</v>
      </c>
      <c r="ES4">
        <v>0</v>
      </c>
      <c r="ET4">
        <v>0</v>
      </c>
      <c r="EU4">
        <v>0</v>
      </c>
      <c r="EV4">
        <v>2</v>
      </c>
      <c r="EW4">
        <v>0</v>
      </c>
      <c r="EX4">
        <v>0</v>
      </c>
      <c r="EY4">
        <v>0</v>
      </c>
      <c r="EZ4">
        <v>2009</v>
      </c>
      <c r="FA4">
        <v>2009</v>
      </c>
      <c r="FB4">
        <v>20</v>
      </c>
      <c r="FD4" t="s">
        <v>326</v>
      </c>
    </row>
    <row r="5" spans="1:160" x14ac:dyDescent="0.25">
      <c r="A5">
        <v>10846143</v>
      </c>
      <c r="B5" t="s">
        <v>141</v>
      </c>
      <c r="C5" t="s">
        <v>141</v>
      </c>
      <c r="F5" t="s">
        <v>141</v>
      </c>
      <c r="G5" t="s">
        <v>141</v>
      </c>
      <c r="I5" s="99">
        <v>39978</v>
      </c>
      <c r="J5" s="98">
        <v>0.68402777777777779</v>
      </c>
      <c r="L5">
        <v>20</v>
      </c>
      <c r="M5">
        <v>1585</v>
      </c>
      <c r="N5" t="s">
        <v>142</v>
      </c>
      <c r="O5" t="s">
        <v>142</v>
      </c>
      <c r="U5">
        <v>1</v>
      </c>
      <c r="W5" t="s">
        <v>325</v>
      </c>
      <c r="X5" t="s">
        <v>326</v>
      </c>
      <c r="AC5" t="s">
        <v>141</v>
      </c>
      <c r="AD5" t="s">
        <v>141</v>
      </c>
      <c r="AE5" t="s">
        <v>142</v>
      </c>
      <c r="AK5" t="s">
        <v>325</v>
      </c>
      <c r="AL5" t="s">
        <v>333</v>
      </c>
      <c r="AS5">
        <v>1</v>
      </c>
      <c r="AT5">
        <v>1</v>
      </c>
      <c r="AU5">
        <v>2</v>
      </c>
      <c r="AW5">
        <v>1</v>
      </c>
      <c r="AX5">
        <v>1</v>
      </c>
      <c r="AY5">
        <v>11</v>
      </c>
      <c r="AZ5">
        <v>5</v>
      </c>
      <c r="BA5">
        <v>8</v>
      </c>
      <c r="BB5">
        <v>2</v>
      </c>
      <c r="BC5">
        <v>1</v>
      </c>
      <c r="BD5">
        <v>13</v>
      </c>
      <c r="BE5">
        <v>64</v>
      </c>
      <c r="BF5">
        <v>54</v>
      </c>
      <c r="BG5">
        <v>1</v>
      </c>
      <c r="BH5">
        <v>4</v>
      </c>
      <c r="BI5">
        <v>1</v>
      </c>
      <c r="BJ5">
        <v>21</v>
      </c>
      <c r="BK5">
        <v>21</v>
      </c>
      <c r="BL5">
        <v>20</v>
      </c>
      <c r="BM5">
        <v>1585</v>
      </c>
      <c r="BN5">
        <v>29.110683000000002</v>
      </c>
      <c r="BO5">
        <v>-95.429911000000004</v>
      </c>
      <c r="BT5" t="s">
        <v>332</v>
      </c>
      <c r="BU5">
        <v>5960</v>
      </c>
      <c r="CD5" t="s">
        <v>334</v>
      </c>
      <c r="CI5" t="s">
        <v>142</v>
      </c>
      <c r="CJ5" t="s">
        <v>141</v>
      </c>
      <c r="CK5" t="s">
        <v>142</v>
      </c>
      <c r="CL5">
        <v>5</v>
      </c>
      <c r="CM5">
        <v>0</v>
      </c>
      <c r="CN5" t="s">
        <v>142</v>
      </c>
      <c r="CO5" t="s">
        <v>335</v>
      </c>
      <c r="ES5">
        <v>0</v>
      </c>
      <c r="ET5">
        <v>0</v>
      </c>
      <c r="EU5">
        <v>0</v>
      </c>
      <c r="EV5">
        <v>3</v>
      </c>
      <c r="EW5">
        <v>0</v>
      </c>
      <c r="EX5">
        <v>0</v>
      </c>
      <c r="EY5">
        <v>0</v>
      </c>
      <c r="EZ5">
        <v>2009</v>
      </c>
      <c r="FA5">
        <v>2009</v>
      </c>
      <c r="FB5">
        <v>20</v>
      </c>
      <c r="FD5" t="s">
        <v>326</v>
      </c>
    </row>
    <row r="6" spans="1:160" x14ac:dyDescent="0.25">
      <c r="A6">
        <v>10704272</v>
      </c>
      <c r="B6" t="s">
        <v>141</v>
      </c>
      <c r="C6" t="s">
        <v>141</v>
      </c>
      <c r="F6" t="s">
        <v>141</v>
      </c>
      <c r="G6" t="s">
        <v>141</v>
      </c>
      <c r="I6" s="99">
        <v>39892</v>
      </c>
      <c r="J6" s="98">
        <v>0.27083333333333331</v>
      </c>
      <c r="L6">
        <v>20</v>
      </c>
      <c r="M6">
        <v>1585</v>
      </c>
      <c r="N6" t="s">
        <v>142</v>
      </c>
      <c r="O6" t="s">
        <v>142</v>
      </c>
      <c r="U6">
        <v>1</v>
      </c>
      <c r="W6" t="s">
        <v>325</v>
      </c>
      <c r="X6" t="s">
        <v>326</v>
      </c>
      <c r="AC6" t="s">
        <v>141</v>
      </c>
      <c r="AD6" t="s">
        <v>141</v>
      </c>
      <c r="AE6" t="s">
        <v>141</v>
      </c>
      <c r="AK6" t="s">
        <v>325</v>
      </c>
      <c r="AL6" t="s">
        <v>336</v>
      </c>
      <c r="AS6">
        <v>1</v>
      </c>
      <c r="AT6">
        <v>3</v>
      </c>
      <c r="AU6">
        <v>0</v>
      </c>
      <c r="AW6">
        <v>1</v>
      </c>
      <c r="AX6">
        <v>1</v>
      </c>
      <c r="AY6">
        <v>1</v>
      </c>
      <c r="AZ6">
        <v>5</v>
      </c>
      <c r="BA6">
        <v>8</v>
      </c>
      <c r="BB6">
        <v>7</v>
      </c>
      <c r="BC6">
        <v>3</v>
      </c>
      <c r="BD6">
        <v>1</v>
      </c>
      <c r="BE6">
        <v>63</v>
      </c>
      <c r="BF6">
        <v>14</v>
      </c>
      <c r="BG6">
        <v>1</v>
      </c>
      <c r="BH6">
        <v>4</v>
      </c>
      <c r="BI6">
        <v>2</v>
      </c>
      <c r="BJ6">
        <v>1</v>
      </c>
      <c r="BK6">
        <v>21</v>
      </c>
      <c r="BL6">
        <v>20</v>
      </c>
      <c r="BM6">
        <v>1585</v>
      </c>
      <c r="BN6">
        <v>29.069426570000001</v>
      </c>
      <c r="BO6">
        <v>-95.427167690000005</v>
      </c>
      <c r="BT6" t="s">
        <v>332</v>
      </c>
      <c r="BU6">
        <v>3958</v>
      </c>
      <c r="CD6" t="s">
        <v>329</v>
      </c>
      <c r="CI6" t="s">
        <v>142</v>
      </c>
      <c r="CJ6" t="s">
        <v>141</v>
      </c>
      <c r="CK6" t="s">
        <v>142</v>
      </c>
      <c r="CL6">
        <v>5</v>
      </c>
      <c r="CM6">
        <v>0</v>
      </c>
      <c r="CN6" t="s">
        <v>142</v>
      </c>
      <c r="CO6" t="s">
        <v>337</v>
      </c>
      <c r="ES6">
        <v>0</v>
      </c>
      <c r="ET6">
        <v>0</v>
      </c>
      <c r="EU6">
        <v>0</v>
      </c>
      <c r="EV6">
        <v>1</v>
      </c>
      <c r="EW6">
        <v>0</v>
      </c>
      <c r="EX6">
        <v>0</v>
      </c>
      <c r="EY6">
        <v>0</v>
      </c>
      <c r="EZ6">
        <v>2009</v>
      </c>
      <c r="FA6">
        <v>2009</v>
      </c>
      <c r="FB6">
        <v>20</v>
      </c>
      <c r="FD6" t="s">
        <v>326</v>
      </c>
    </row>
    <row r="7" spans="1:160" x14ac:dyDescent="0.25">
      <c r="A7">
        <v>10846155</v>
      </c>
      <c r="B7" t="s">
        <v>141</v>
      </c>
      <c r="C7" t="s">
        <v>141</v>
      </c>
      <c r="F7" t="s">
        <v>141</v>
      </c>
      <c r="G7" t="s">
        <v>141</v>
      </c>
      <c r="I7" s="99">
        <v>39962</v>
      </c>
      <c r="J7" s="98">
        <v>5.4166666666666669E-2</v>
      </c>
      <c r="L7">
        <v>20</v>
      </c>
      <c r="M7">
        <v>1585</v>
      </c>
      <c r="N7" t="s">
        <v>142</v>
      </c>
      <c r="O7" t="s">
        <v>142</v>
      </c>
      <c r="U7">
        <v>1</v>
      </c>
      <c r="V7">
        <v>5800</v>
      </c>
      <c r="W7" t="s">
        <v>325</v>
      </c>
      <c r="X7" t="s">
        <v>326</v>
      </c>
      <c r="AC7" t="s">
        <v>141</v>
      </c>
      <c r="AD7" t="s">
        <v>141</v>
      </c>
      <c r="AE7" t="s">
        <v>141</v>
      </c>
      <c r="AK7" t="s">
        <v>325</v>
      </c>
      <c r="AL7" t="s">
        <v>338</v>
      </c>
      <c r="AS7">
        <v>1</v>
      </c>
      <c r="AT7">
        <v>3</v>
      </c>
      <c r="AU7">
        <v>0</v>
      </c>
      <c r="AW7">
        <v>1</v>
      </c>
      <c r="AX7">
        <v>1</v>
      </c>
      <c r="AY7">
        <v>11</v>
      </c>
      <c r="AZ7">
        <v>5</v>
      </c>
      <c r="BA7">
        <v>8</v>
      </c>
      <c r="BB7">
        <v>2</v>
      </c>
      <c r="BC7">
        <v>4</v>
      </c>
      <c r="BD7">
        <v>30</v>
      </c>
      <c r="BE7">
        <v>64</v>
      </c>
      <c r="BF7">
        <v>54</v>
      </c>
      <c r="BG7">
        <v>1</v>
      </c>
      <c r="BH7">
        <v>4</v>
      </c>
      <c r="BI7">
        <v>1</v>
      </c>
      <c r="BJ7">
        <v>21</v>
      </c>
      <c r="BK7">
        <v>21</v>
      </c>
      <c r="BL7">
        <v>20</v>
      </c>
      <c r="BM7">
        <v>1585</v>
      </c>
      <c r="BN7">
        <v>29.10942112</v>
      </c>
      <c r="BO7">
        <v>-95.429820269999993</v>
      </c>
      <c r="BT7" t="s">
        <v>332</v>
      </c>
      <c r="BU7">
        <v>5930</v>
      </c>
      <c r="CD7" t="s">
        <v>329</v>
      </c>
      <c r="CI7" t="s">
        <v>142</v>
      </c>
      <c r="CJ7" t="s">
        <v>141</v>
      </c>
      <c r="CK7" t="s">
        <v>142</v>
      </c>
      <c r="CL7">
        <v>5</v>
      </c>
      <c r="CM7">
        <v>0</v>
      </c>
      <c r="CN7" t="s">
        <v>142</v>
      </c>
      <c r="CO7" t="s">
        <v>337</v>
      </c>
      <c r="ES7">
        <v>0</v>
      </c>
      <c r="ET7">
        <v>0</v>
      </c>
      <c r="EU7">
        <v>0</v>
      </c>
      <c r="EV7">
        <v>2</v>
      </c>
      <c r="EW7">
        <v>0</v>
      </c>
      <c r="EX7">
        <v>0</v>
      </c>
      <c r="EY7">
        <v>0</v>
      </c>
      <c r="EZ7">
        <v>2009</v>
      </c>
      <c r="FA7">
        <v>2009</v>
      </c>
      <c r="FB7">
        <v>20</v>
      </c>
      <c r="FD7" t="s">
        <v>326</v>
      </c>
    </row>
    <row r="8" spans="1:160" x14ac:dyDescent="0.25">
      <c r="A8">
        <v>10790551</v>
      </c>
      <c r="B8" t="s">
        <v>141</v>
      </c>
      <c r="C8" t="s">
        <v>141</v>
      </c>
      <c r="F8" t="s">
        <v>141</v>
      </c>
      <c r="G8" t="s">
        <v>141</v>
      </c>
      <c r="I8" s="99">
        <v>39916</v>
      </c>
      <c r="J8" s="98">
        <v>0.44444444444444442</v>
      </c>
      <c r="L8">
        <v>20</v>
      </c>
      <c r="M8">
        <v>1585</v>
      </c>
      <c r="N8" t="s">
        <v>142</v>
      </c>
      <c r="O8" t="s">
        <v>142</v>
      </c>
      <c r="U8">
        <v>1</v>
      </c>
      <c r="W8" t="s">
        <v>325</v>
      </c>
      <c r="X8" t="s">
        <v>326</v>
      </c>
      <c r="AC8" t="s">
        <v>141</v>
      </c>
      <c r="AD8" t="s">
        <v>141</v>
      </c>
      <c r="AE8" t="s">
        <v>141</v>
      </c>
      <c r="AK8" t="s">
        <v>325</v>
      </c>
      <c r="AL8" t="s">
        <v>338</v>
      </c>
      <c r="AS8">
        <v>1</v>
      </c>
      <c r="AT8">
        <v>1</v>
      </c>
      <c r="AU8">
        <v>0</v>
      </c>
      <c r="AW8">
        <v>1</v>
      </c>
      <c r="AX8">
        <v>1</v>
      </c>
      <c r="AY8">
        <v>11</v>
      </c>
      <c r="AZ8">
        <v>5</v>
      </c>
      <c r="BA8">
        <v>8</v>
      </c>
      <c r="BB8">
        <v>10</v>
      </c>
      <c r="BC8">
        <v>4</v>
      </c>
      <c r="BD8">
        <v>1</v>
      </c>
      <c r="BE8">
        <v>64</v>
      </c>
      <c r="BF8">
        <v>54</v>
      </c>
      <c r="BG8">
        <v>1</v>
      </c>
      <c r="BH8">
        <v>4</v>
      </c>
      <c r="BI8">
        <v>1</v>
      </c>
      <c r="BJ8">
        <v>21</v>
      </c>
      <c r="BK8">
        <v>21</v>
      </c>
      <c r="BL8">
        <v>20</v>
      </c>
      <c r="BM8">
        <v>1585</v>
      </c>
      <c r="BN8">
        <v>29.093687070000001</v>
      </c>
      <c r="BO8">
        <v>-95.428797829999993</v>
      </c>
      <c r="BT8" t="s">
        <v>332</v>
      </c>
      <c r="BU8">
        <v>5250</v>
      </c>
      <c r="CD8" t="s">
        <v>329</v>
      </c>
      <c r="CI8" t="s">
        <v>142</v>
      </c>
      <c r="CJ8" t="s">
        <v>141</v>
      </c>
      <c r="CK8" t="s">
        <v>142</v>
      </c>
      <c r="CL8">
        <v>5</v>
      </c>
      <c r="CM8">
        <v>0</v>
      </c>
      <c r="CN8" t="s">
        <v>142</v>
      </c>
      <c r="CO8" t="s">
        <v>140</v>
      </c>
      <c r="ES8">
        <v>0</v>
      </c>
      <c r="ET8">
        <v>0</v>
      </c>
      <c r="EU8">
        <v>0</v>
      </c>
      <c r="EV8">
        <v>1</v>
      </c>
      <c r="EW8">
        <v>0</v>
      </c>
      <c r="EX8">
        <v>0</v>
      </c>
      <c r="EY8">
        <v>0</v>
      </c>
      <c r="EZ8">
        <v>2009</v>
      </c>
      <c r="FA8">
        <v>2009</v>
      </c>
      <c r="FB8">
        <v>20</v>
      </c>
      <c r="FD8" t="s">
        <v>326</v>
      </c>
    </row>
    <row r="9" spans="1:160" x14ac:dyDescent="0.25">
      <c r="A9">
        <v>11150488</v>
      </c>
      <c r="B9" t="s">
        <v>141</v>
      </c>
      <c r="C9" t="s">
        <v>141</v>
      </c>
      <c r="F9" t="s">
        <v>141</v>
      </c>
      <c r="G9" t="s">
        <v>141</v>
      </c>
      <c r="I9" s="99">
        <v>40171</v>
      </c>
      <c r="J9" s="98">
        <v>4.8611111111111112E-3</v>
      </c>
      <c r="L9">
        <v>20</v>
      </c>
      <c r="M9">
        <v>1585</v>
      </c>
      <c r="N9" t="s">
        <v>142</v>
      </c>
      <c r="O9" t="s">
        <v>142</v>
      </c>
      <c r="U9">
        <v>1</v>
      </c>
      <c r="W9" t="s">
        <v>325</v>
      </c>
      <c r="X9" t="s">
        <v>326</v>
      </c>
      <c r="AC9" t="s">
        <v>141</v>
      </c>
      <c r="AD9" t="s">
        <v>141</v>
      </c>
      <c r="AE9" t="s">
        <v>141</v>
      </c>
      <c r="AK9" t="s">
        <v>325</v>
      </c>
      <c r="AL9" t="s">
        <v>338</v>
      </c>
      <c r="AS9">
        <v>1</v>
      </c>
      <c r="AT9">
        <v>3</v>
      </c>
      <c r="AU9">
        <v>0</v>
      </c>
      <c r="AW9">
        <v>1</v>
      </c>
      <c r="AX9">
        <v>1</v>
      </c>
      <c r="AY9">
        <v>11</v>
      </c>
      <c r="AZ9">
        <v>5</v>
      </c>
      <c r="BA9">
        <v>8</v>
      </c>
      <c r="BB9">
        <v>7</v>
      </c>
      <c r="BC9">
        <v>4</v>
      </c>
      <c r="BD9">
        <v>1</v>
      </c>
      <c r="BE9">
        <v>31</v>
      </c>
      <c r="BF9">
        <v>54</v>
      </c>
      <c r="BG9">
        <v>1</v>
      </c>
      <c r="BH9">
        <v>4</v>
      </c>
      <c r="BI9">
        <v>2</v>
      </c>
      <c r="BJ9">
        <v>21</v>
      </c>
      <c r="BK9">
        <v>21</v>
      </c>
      <c r="BL9">
        <v>20</v>
      </c>
      <c r="BM9">
        <v>1585</v>
      </c>
      <c r="BN9">
        <v>29.10661464</v>
      </c>
      <c r="BO9">
        <v>-95.429672080000003</v>
      </c>
      <c r="BT9" t="s">
        <v>332</v>
      </c>
      <c r="BU9">
        <v>5856</v>
      </c>
      <c r="CD9" t="s">
        <v>329</v>
      </c>
      <c r="CI9" t="s">
        <v>142</v>
      </c>
      <c r="CJ9" t="s">
        <v>141</v>
      </c>
      <c r="CK9" t="s">
        <v>142</v>
      </c>
      <c r="CL9">
        <v>5</v>
      </c>
      <c r="CM9">
        <v>0</v>
      </c>
      <c r="CN9" t="s">
        <v>142</v>
      </c>
      <c r="CO9" t="s">
        <v>339</v>
      </c>
      <c r="ES9">
        <v>0</v>
      </c>
      <c r="ET9">
        <v>0</v>
      </c>
      <c r="EU9">
        <v>0</v>
      </c>
      <c r="EV9">
        <v>1</v>
      </c>
      <c r="EW9">
        <v>0</v>
      </c>
      <c r="EX9">
        <v>0</v>
      </c>
      <c r="EY9">
        <v>0</v>
      </c>
      <c r="EZ9">
        <v>2009</v>
      </c>
      <c r="FA9">
        <v>2009</v>
      </c>
      <c r="FB9">
        <v>20</v>
      </c>
      <c r="FD9" t="s">
        <v>326</v>
      </c>
    </row>
    <row r="10" spans="1:160" x14ac:dyDescent="0.25">
      <c r="A10">
        <v>10815261</v>
      </c>
      <c r="B10" t="s">
        <v>141</v>
      </c>
      <c r="C10" t="s">
        <v>141</v>
      </c>
      <c r="F10" t="s">
        <v>141</v>
      </c>
      <c r="G10" t="s">
        <v>141</v>
      </c>
      <c r="I10" s="99">
        <v>39980</v>
      </c>
      <c r="J10" s="98">
        <v>0.54999999999999993</v>
      </c>
      <c r="L10">
        <v>20</v>
      </c>
      <c r="M10">
        <v>14</v>
      </c>
      <c r="N10" t="s">
        <v>141</v>
      </c>
      <c r="O10" t="s">
        <v>142</v>
      </c>
      <c r="U10">
        <v>1</v>
      </c>
      <c r="W10" t="s">
        <v>340</v>
      </c>
      <c r="X10" t="s">
        <v>341</v>
      </c>
      <c r="Y10" t="s">
        <v>342</v>
      </c>
      <c r="AC10" t="s">
        <v>141</v>
      </c>
      <c r="AD10" t="s">
        <v>141</v>
      </c>
      <c r="AE10" t="s">
        <v>142</v>
      </c>
      <c r="AK10" t="s">
        <v>325</v>
      </c>
      <c r="AL10" t="s">
        <v>343</v>
      </c>
      <c r="AM10" t="s">
        <v>342</v>
      </c>
      <c r="AS10">
        <v>1</v>
      </c>
      <c r="AT10">
        <v>1</v>
      </c>
      <c r="AU10">
        <v>2</v>
      </c>
      <c r="AW10">
        <v>1</v>
      </c>
      <c r="AX10">
        <v>1</v>
      </c>
      <c r="AY10">
        <v>11</v>
      </c>
      <c r="AZ10">
        <v>3</v>
      </c>
      <c r="BA10">
        <v>8</v>
      </c>
      <c r="BB10">
        <v>2</v>
      </c>
      <c r="BC10">
        <v>1</v>
      </c>
      <c r="BD10">
        <v>24</v>
      </c>
      <c r="BE10">
        <v>64</v>
      </c>
      <c r="BF10">
        <v>54</v>
      </c>
      <c r="BG10">
        <v>1</v>
      </c>
      <c r="BH10">
        <v>5</v>
      </c>
      <c r="BI10">
        <v>1</v>
      </c>
      <c r="BJ10">
        <v>21</v>
      </c>
      <c r="BK10">
        <v>21</v>
      </c>
      <c r="BL10">
        <v>20</v>
      </c>
      <c r="BM10">
        <v>1585</v>
      </c>
      <c r="BN10">
        <v>29.133482000000001</v>
      </c>
      <c r="BO10">
        <v>-95.431053000000006</v>
      </c>
      <c r="BT10" t="s">
        <v>344</v>
      </c>
      <c r="BU10">
        <v>2299</v>
      </c>
      <c r="CD10" t="s">
        <v>345</v>
      </c>
      <c r="CI10" t="s">
        <v>142</v>
      </c>
      <c r="CJ10" t="s">
        <v>141</v>
      </c>
      <c r="CK10" t="s">
        <v>142</v>
      </c>
      <c r="CL10">
        <v>5</v>
      </c>
      <c r="CM10">
        <v>0</v>
      </c>
      <c r="CN10" t="s">
        <v>142</v>
      </c>
      <c r="CO10" t="s">
        <v>346</v>
      </c>
      <c r="ES10">
        <v>0</v>
      </c>
      <c r="ET10">
        <v>0</v>
      </c>
      <c r="EU10">
        <v>0</v>
      </c>
      <c r="EV10">
        <v>5</v>
      </c>
      <c r="EW10">
        <v>0</v>
      </c>
      <c r="EX10">
        <v>0</v>
      </c>
      <c r="EY10">
        <v>0</v>
      </c>
      <c r="EZ10">
        <v>2009</v>
      </c>
      <c r="FA10">
        <v>2009</v>
      </c>
      <c r="FB10">
        <v>20</v>
      </c>
      <c r="FD10" t="s">
        <v>341</v>
      </c>
    </row>
    <row r="11" spans="1:160" x14ac:dyDescent="0.25">
      <c r="A11">
        <v>10937913</v>
      </c>
      <c r="B11" t="s">
        <v>141</v>
      </c>
      <c r="C11" t="s">
        <v>141</v>
      </c>
      <c r="F11" t="s">
        <v>141</v>
      </c>
      <c r="G11" t="s">
        <v>141</v>
      </c>
      <c r="I11" s="99">
        <v>40059</v>
      </c>
      <c r="J11" s="98">
        <v>0.30555555555555552</v>
      </c>
      <c r="L11">
        <v>20</v>
      </c>
      <c r="M11">
        <v>14</v>
      </c>
      <c r="N11" t="s">
        <v>141</v>
      </c>
      <c r="O11" t="s">
        <v>142</v>
      </c>
      <c r="U11">
        <v>1</v>
      </c>
      <c r="V11">
        <v>3000</v>
      </c>
      <c r="W11" t="s">
        <v>325</v>
      </c>
      <c r="X11" t="s">
        <v>341</v>
      </c>
      <c r="Y11" t="s">
        <v>342</v>
      </c>
      <c r="AC11" t="s">
        <v>141</v>
      </c>
      <c r="AD11" t="s">
        <v>141</v>
      </c>
      <c r="AE11" t="s">
        <v>141</v>
      </c>
      <c r="AK11" t="s">
        <v>325</v>
      </c>
      <c r="AL11" t="s">
        <v>327</v>
      </c>
      <c r="AS11">
        <v>1</v>
      </c>
      <c r="AT11">
        <v>1</v>
      </c>
      <c r="AU11">
        <v>0</v>
      </c>
      <c r="AW11">
        <v>1</v>
      </c>
      <c r="AX11">
        <v>1</v>
      </c>
      <c r="AY11">
        <v>11</v>
      </c>
      <c r="AZ11">
        <v>3</v>
      </c>
      <c r="BA11">
        <v>8</v>
      </c>
      <c r="BB11">
        <v>2</v>
      </c>
      <c r="BC11">
        <v>4</v>
      </c>
      <c r="BD11">
        <v>21</v>
      </c>
      <c r="BE11">
        <v>64</v>
      </c>
      <c r="BF11">
        <v>9</v>
      </c>
      <c r="BG11">
        <v>1</v>
      </c>
      <c r="BH11">
        <v>2</v>
      </c>
      <c r="BI11">
        <v>1</v>
      </c>
      <c r="BJ11">
        <v>21</v>
      </c>
      <c r="BK11">
        <v>21</v>
      </c>
      <c r="BL11">
        <v>20</v>
      </c>
      <c r="BM11">
        <v>1585</v>
      </c>
      <c r="BN11">
        <v>29.123155100000002</v>
      </c>
      <c r="BO11">
        <v>-95.423890979999996</v>
      </c>
      <c r="BP11" t="s">
        <v>347</v>
      </c>
      <c r="BQ11">
        <v>288</v>
      </c>
      <c r="BR11" t="s">
        <v>348</v>
      </c>
      <c r="BS11">
        <v>11.347</v>
      </c>
      <c r="BT11" t="s">
        <v>349</v>
      </c>
      <c r="BU11">
        <v>3320</v>
      </c>
      <c r="BV11">
        <v>111</v>
      </c>
      <c r="BW11">
        <v>7</v>
      </c>
      <c r="BX11">
        <v>2.903</v>
      </c>
      <c r="BY11">
        <v>516</v>
      </c>
      <c r="BZ11">
        <v>-0.69599999999999995</v>
      </c>
      <c r="CD11" t="s">
        <v>329</v>
      </c>
      <c r="CI11" t="s">
        <v>142</v>
      </c>
      <c r="CJ11" t="s">
        <v>142</v>
      </c>
      <c r="CK11" t="s">
        <v>142</v>
      </c>
      <c r="CL11">
        <v>5</v>
      </c>
      <c r="CM11">
        <v>0</v>
      </c>
      <c r="CN11" t="s">
        <v>142</v>
      </c>
      <c r="CO11" t="s">
        <v>339</v>
      </c>
      <c r="CP11">
        <v>3</v>
      </c>
      <c r="CQ11">
        <v>0</v>
      </c>
      <c r="CR11">
        <v>0</v>
      </c>
      <c r="CS11">
        <v>9</v>
      </c>
      <c r="CT11">
        <v>20</v>
      </c>
      <c r="CU11">
        <v>9</v>
      </c>
      <c r="CV11">
        <v>4</v>
      </c>
      <c r="CW11">
        <v>170</v>
      </c>
      <c r="CX11">
        <v>66</v>
      </c>
      <c r="CY11">
        <v>48</v>
      </c>
      <c r="CZ11">
        <v>6</v>
      </c>
      <c r="DA11">
        <v>1</v>
      </c>
      <c r="DB11">
        <v>0</v>
      </c>
      <c r="DC11">
        <v>1</v>
      </c>
      <c r="DD11">
        <v>0</v>
      </c>
      <c r="DE11">
        <v>0</v>
      </c>
      <c r="DF11">
        <v>2</v>
      </c>
      <c r="DG11">
        <v>18</v>
      </c>
      <c r="DH11">
        <v>5</v>
      </c>
      <c r="DI11">
        <v>1</v>
      </c>
      <c r="DJ11">
        <v>20</v>
      </c>
      <c r="DK11">
        <v>3</v>
      </c>
      <c r="DL11">
        <v>14</v>
      </c>
      <c r="DM11">
        <v>12400</v>
      </c>
      <c r="DN11">
        <v>2011</v>
      </c>
      <c r="DO11">
        <v>12400</v>
      </c>
      <c r="DP11">
        <v>6.2</v>
      </c>
      <c r="DQ11">
        <v>7</v>
      </c>
      <c r="DR11">
        <v>13.3</v>
      </c>
      <c r="ES11">
        <v>0</v>
      </c>
      <c r="ET11">
        <v>0</v>
      </c>
      <c r="EU11">
        <v>0</v>
      </c>
      <c r="EV11">
        <v>2</v>
      </c>
      <c r="EW11">
        <v>0</v>
      </c>
      <c r="EX11">
        <v>0</v>
      </c>
      <c r="EY11">
        <v>0</v>
      </c>
      <c r="EZ11">
        <v>2009</v>
      </c>
      <c r="FA11">
        <v>2009</v>
      </c>
      <c r="FB11">
        <v>20</v>
      </c>
      <c r="FD11" t="s">
        <v>341</v>
      </c>
    </row>
    <row r="12" spans="1:160" x14ac:dyDescent="0.25">
      <c r="A12">
        <v>13209301</v>
      </c>
      <c r="B12" t="s">
        <v>141</v>
      </c>
      <c r="C12" t="s">
        <v>141</v>
      </c>
      <c r="D12" t="s">
        <v>141</v>
      </c>
      <c r="E12" t="s">
        <v>141</v>
      </c>
      <c r="F12" t="s">
        <v>141</v>
      </c>
      <c r="G12" t="s">
        <v>142</v>
      </c>
      <c r="H12" t="s">
        <v>141</v>
      </c>
      <c r="I12" s="99">
        <v>41321</v>
      </c>
      <c r="J12" s="98">
        <v>0.79236111111111107</v>
      </c>
      <c r="K12" t="s">
        <v>350</v>
      </c>
      <c r="L12">
        <v>20</v>
      </c>
      <c r="M12">
        <v>14</v>
      </c>
      <c r="N12" t="s">
        <v>141</v>
      </c>
      <c r="O12" t="s">
        <v>142</v>
      </c>
      <c r="R12">
        <v>19</v>
      </c>
      <c r="U12">
        <v>1</v>
      </c>
      <c r="W12" t="s">
        <v>340</v>
      </c>
      <c r="X12" t="s">
        <v>341</v>
      </c>
      <c r="Y12" t="s">
        <v>342</v>
      </c>
      <c r="Z12" t="s">
        <v>141</v>
      </c>
      <c r="AA12" t="s">
        <v>141</v>
      </c>
      <c r="AB12">
        <v>40</v>
      </c>
      <c r="AC12" t="s">
        <v>141</v>
      </c>
      <c r="AD12" t="s">
        <v>141</v>
      </c>
      <c r="AE12" t="s">
        <v>141</v>
      </c>
      <c r="AF12">
        <v>19</v>
      </c>
      <c r="AI12">
        <v>1</v>
      </c>
      <c r="AL12" t="s">
        <v>351</v>
      </c>
      <c r="AM12" t="s">
        <v>342</v>
      </c>
      <c r="AS12">
        <v>11</v>
      </c>
      <c r="AT12">
        <v>4</v>
      </c>
      <c r="AU12">
        <v>2</v>
      </c>
      <c r="AV12">
        <v>2</v>
      </c>
      <c r="AW12">
        <v>1</v>
      </c>
      <c r="AX12">
        <v>1</v>
      </c>
      <c r="AY12">
        <v>11</v>
      </c>
      <c r="AZ12">
        <v>45</v>
      </c>
      <c r="BA12">
        <v>8</v>
      </c>
      <c r="BB12">
        <v>7</v>
      </c>
      <c r="BC12">
        <v>4</v>
      </c>
      <c r="BD12">
        <v>1</v>
      </c>
      <c r="BE12">
        <v>36</v>
      </c>
      <c r="BF12">
        <v>54</v>
      </c>
      <c r="BG12">
        <v>1</v>
      </c>
      <c r="BH12">
        <v>2</v>
      </c>
      <c r="BI12">
        <v>2</v>
      </c>
      <c r="BJ12">
        <v>21</v>
      </c>
      <c r="BK12">
        <v>21</v>
      </c>
      <c r="BL12">
        <v>20</v>
      </c>
      <c r="BM12">
        <v>14</v>
      </c>
      <c r="BN12">
        <v>29.136226440000002</v>
      </c>
      <c r="BO12">
        <v>-95.426987530000005</v>
      </c>
      <c r="BP12" t="s">
        <v>347</v>
      </c>
      <c r="BQ12">
        <v>288</v>
      </c>
      <c r="BR12" t="s">
        <v>348</v>
      </c>
      <c r="BS12">
        <v>10.429</v>
      </c>
      <c r="BT12" t="s">
        <v>349</v>
      </c>
      <c r="BU12">
        <v>2187</v>
      </c>
      <c r="BV12">
        <v>111</v>
      </c>
      <c r="BW12">
        <v>7</v>
      </c>
      <c r="BX12">
        <v>1.9790000000000001</v>
      </c>
      <c r="BY12">
        <v>514</v>
      </c>
      <c r="BZ12">
        <v>0.372</v>
      </c>
      <c r="CD12" t="s">
        <v>329</v>
      </c>
      <c r="CI12" t="s">
        <v>142</v>
      </c>
      <c r="CJ12" t="s">
        <v>142</v>
      </c>
      <c r="CK12" t="s">
        <v>141</v>
      </c>
      <c r="CL12">
        <v>5</v>
      </c>
      <c r="CM12">
        <v>5</v>
      </c>
      <c r="CN12" t="s">
        <v>142</v>
      </c>
      <c r="CO12" t="s">
        <v>144</v>
      </c>
      <c r="CP12">
        <v>3</v>
      </c>
      <c r="CQ12">
        <v>0</v>
      </c>
      <c r="CR12">
        <v>0</v>
      </c>
      <c r="CS12">
        <v>9</v>
      </c>
      <c r="CT12">
        <v>16</v>
      </c>
      <c r="CU12">
        <v>2</v>
      </c>
      <c r="CV12">
        <v>4</v>
      </c>
      <c r="CW12">
        <v>170</v>
      </c>
      <c r="CX12">
        <v>66</v>
      </c>
      <c r="CY12">
        <v>48</v>
      </c>
      <c r="CZ12">
        <v>6</v>
      </c>
      <c r="DA12">
        <v>1</v>
      </c>
      <c r="DB12">
        <v>0</v>
      </c>
      <c r="DC12">
        <v>1</v>
      </c>
      <c r="DD12">
        <v>0</v>
      </c>
      <c r="DE12">
        <v>0</v>
      </c>
      <c r="DF12">
        <v>2</v>
      </c>
      <c r="DG12">
        <v>18</v>
      </c>
      <c r="DH12">
        <v>5</v>
      </c>
      <c r="DI12">
        <v>1</v>
      </c>
      <c r="DJ12">
        <v>16</v>
      </c>
      <c r="DK12">
        <v>3</v>
      </c>
      <c r="DL12">
        <v>14</v>
      </c>
      <c r="DM12">
        <v>12500</v>
      </c>
      <c r="DN12">
        <v>2011</v>
      </c>
      <c r="DO12">
        <v>12500</v>
      </c>
      <c r="DP12">
        <v>6.2</v>
      </c>
      <c r="DQ12">
        <v>7</v>
      </c>
      <c r="DR12">
        <v>13.3</v>
      </c>
      <c r="ES12">
        <v>0</v>
      </c>
      <c r="ET12">
        <v>0</v>
      </c>
      <c r="EU12">
        <v>0</v>
      </c>
      <c r="EV12">
        <v>3</v>
      </c>
      <c r="EW12">
        <v>0</v>
      </c>
      <c r="EX12">
        <v>0</v>
      </c>
      <c r="EY12">
        <v>0</v>
      </c>
      <c r="EZ12">
        <v>2013</v>
      </c>
      <c r="FA12">
        <v>2013</v>
      </c>
      <c r="FB12">
        <v>20</v>
      </c>
      <c r="FD12" t="s">
        <v>341</v>
      </c>
    </row>
    <row r="13" spans="1:160" x14ac:dyDescent="0.25">
      <c r="A13" s="117">
        <v>13351698</v>
      </c>
      <c r="B13" s="117" t="s">
        <v>141</v>
      </c>
      <c r="C13" s="117" t="s">
        <v>141</v>
      </c>
      <c r="D13" s="117" t="s">
        <v>141</v>
      </c>
      <c r="E13" s="117" t="s">
        <v>141</v>
      </c>
      <c r="F13" s="117" t="s">
        <v>141</v>
      </c>
      <c r="G13" s="117" t="s">
        <v>141</v>
      </c>
      <c r="H13" s="117" t="s">
        <v>141</v>
      </c>
      <c r="I13" s="118">
        <v>41457</v>
      </c>
      <c r="J13" s="119">
        <v>0.66041666666666665</v>
      </c>
      <c r="K13" s="117"/>
      <c r="L13" s="117">
        <v>20</v>
      </c>
      <c r="M13" s="117">
        <v>1585</v>
      </c>
      <c r="N13" s="117" t="s">
        <v>142</v>
      </c>
      <c r="O13" s="117" t="s">
        <v>142</v>
      </c>
      <c r="P13" s="120">
        <v>29.10479999</v>
      </c>
      <c r="Q13" s="120">
        <v>-95.429649999999995</v>
      </c>
      <c r="R13" s="117">
        <v>15</v>
      </c>
      <c r="S13" s="117">
        <v>288</v>
      </c>
      <c r="T13" s="117"/>
      <c r="U13" s="117">
        <v>1</v>
      </c>
      <c r="V13" s="117"/>
      <c r="W13" s="117"/>
      <c r="X13" s="117" t="s">
        <v>352</v>
      </c>
      <c r="Y13" s="117"/>
      <c r="Z13" s="117" t="s">
        <v>141</v>
      </c>
      <c r="AA13" s="117" t="s">
        <v>141</v>
      </c>
      <c r="AB13" s="117">
        <v>40</v>
      </c>
      <c r="AC13" s="117" t="s">
        <v>141</v>
      </c>
      <c r="AD13" s="117" t="s">
        <v>141</v>
      </c>
      <c r="AE13" s="117" t="s">
        <v>142</v>
      </c>
      <c r="AF13" s="117">
        <v>19</v>
      </c>
      <c r="AG13" s="117"/>
      <c r="AH13" s="117"/>
      <c r="AI13" s="117">
        <v>1</v>
      </c>
      <c r="AJ13" s="117"/>
      <c r="AK13" s="117"/>
      <c r="AL13" s="117" t="s">
        <v>353</v>
      </c>
      <c r="AM13" s="117" t="s">
        <v>143</v>
      </c>
      <c r="AN13" s="117"/>
      <c r="AO13" s="117"/>
      <c r="AP13" s="117"/>
      <c r="AQ13" s="117"/>
      <c r="AR13" s="117"/>
      <c r="AS13" s="117">
        <v>11</v>
      </c>
      <c r="AT13" s="117">
        <v>1</v>
      </c>
      <c r="AU13" s="117">
        <v>2</v>
      </c>
      <c r="AV13" s="117"/>
      <c r="AW13" s="117">
        <v>1</v>
      </c>
      <c r="AX13" s="117">
        <v>1</v>
      </c>
      <c r="AY13" s="117">
        <v>11</v>
      </c>
      <c r="AZ13" s="117">
        <v>10000</v>
      </c>
      <c r="BA13" s="117">
        <v>8</v>
      </c>
      <c r="BB13" s="117">
        <v>2</v>
      </c>
      <c r="BC13" s="117">
        <v>1</v>
      </c>
      <c r="BD13" s="117">
        <v>14</v>
      </c>
      <c r="BE13" s="117">
        <v>64</v>
      </c>
      <c r="BF13" s="117">
        <v>54</v>
      </c>
      <c r="BG13" s="117">
        <v>1</v>
      </c>
      <c r="BH13" s="117">
        <v>4</v>
      </c>
      <c r="BI13" s="117">
        <v>1</v>
      </c>
      <c r="BJ13" s="117">
        <v>21</v>
      </c>
      <c r="BK13" s="117">
        <v>21</v>
      </c>
      <c r="BL13" s="117">
        <v>20</v>
      </c>
      <c r="BM13" s="117">
        <v>1585</v>
      </c>
      <c r="BN13" s="117">
        <v>29.104707869999999</v>
      </c>
      <c r="BO13" s="117">
        <v>-95.429648270000001</v>
      </c>
      <c r="BP13" s="117"/>
      <c r="BQ13" s="117"/>
      <c r="BR13" s="117"/>
      <c r="BS13" s="117"/>
      <c r="BT13" s="117" t="s">
        <v>354</v>
      </c>
      <c r="BU13" s="117">
        <v>6</v>
      </c>
      <c r="BV13" s="117"/>
      <c r="BW13" s="117"/>
      <c r="BX13" s="117"/>
      <c r="BY13" s="117"/>
      <c r="BZ13" s="117"/>
      <c r="CA13" s="117"/>
      <c r="CB13" s="117"/>
      <c r="CC13" s="117"/>
      <c r="CD13" s="117" t="s">
        <v>355</v>
      </c>
      <c r="CE13" s="117"/>
      <c r="CF13" s="117"/>
      <c r="CG13" s="117"/>
      <c r="CH13" s="117"/>
      <c r="CI13" s="117" t="s">
        <v>142</v>
      </c>
      <c r="CJ13" s="117" t="s">
        <v>141</v>
      </c>
      <c r="CK13" s="117" t="s">
        <v>142</v>
      </c>
      <c r="CL13" s="117">
        <v>3</v>
      </c>
      <c r="CM13" s="117">
        <v>0</v>
      </c>
      <c r="CN13" s="117" t="s">
        <v>142</v>
      </c>
      <c r="CO13" s="117" t="s">
        <v>346</v>
      </c>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v>0</v>
      </c>
      <c r="ET13" s="117">
        <v>0</v>
      </c>
      <c r="EU13" s="117">
        <v>1</v>
      </c>
      <c r="EV13" s="117">
        <v>6</v>
      </c>
      <c r="EW13" s="117">
        <v>0</v>
      </c>
      <c r="EX13" s="117">
        <v>1</v>
      </c>
      <c r="EY13" s="117">
        <v>0</v>
      </c>
      <c r="EZ13" s="117">
        <v>2013</v>
      </c>
      <c r="FA13" s="117">
        <v>2013</v>
      </c>
      <c r="FB13" s="117">
        <v>20</v>
      </c>
      <c r="FC13" s="117">
        <v>288</v>
      </c>
      <c r="FD13" s="117" t="s">
        <v>352</v>
      </c>
    </row>
    <row r="14" spans="1:160" x14ac:dyDescent="0.25">
      <c r="A14" s="121">
        <v>12565646</v>
      </c>
      <c r="B14" s="122" t="s">
        <v>141</v>
      </c>
      <c r="C14" s="122" t="s">
        <v>141</v>
      </c>
      <c r="D14" s="122" t="s">
        <v>141</v>
      </c>
      <c r="E14" s="122" t="s">
        <v>141</v>
      </c>
      <c r="F14" s="122" t="s">
        <v>141</v>
      </c>
      <c r="G14" s="122" t="s">
        <v>142</v>
      </c>
      <c r="H14" s="122" t="s">
        <v>141</v>
      </c>
      <c r="I14" s="118">
        <v>40907</v>
      </c>
      <c r="J14" s="123">
        <v>0.44722222222222219</v>
      </c>
      <c r="K14" s="122"/>
      <c r="L14" s="121">
        <v>20</v>
      </c>
      <c r="M14" s="121">
        <v>1585</v>
      </c>
      <c r="N14" s="122" t="s">
        <v>142</v>
      </c>
      <c r="O14" s="122" t="s">
        <v>142</v>
      </c>
      <c r="P14" s="120">
        <v>29.069099999999999</v>
      </c>
      <c r="Q14" s="120">
        <v>-95.426900000000003</v>
      </c>
      <c r="R14" s="121">
        <v>15</v>
      </c>
      <c r="S14" s="121">
        <v>288</v>
      </c>
      <c r="T14" s="121"/>
      <c r="U14" s="121">
        <v>1</v>
      </c>
      <c r="V14" s="122"/>
      <c r="W14" s="122"/>
      <c r="X14" s="122" t="s">
        <v>352</v>
      </c>
      <c r="Y14" s="122"/>
      <c r="Z14" s="122" t="s">
        <v>141</v>
      </c>
      <c r="AA14" s="122" t="s">
        <v>141</v>
      </c>
      <c r="AB14" s="121">
        <v>45</v>
      </c>
      <c r="AC14" s="122" t="s">
        <v>141</v>
      </c>
      <c r="AD14" s="122" t="s">
        <v>141</v>
      </c>
      <c r="AE14" s="122" t="s">
        <v>142</v>
      </c>
      <c r="AF14" s="121">
        <v>15</v>
      </c>
      <c r="AG14" s="121">
        <v>687</v>
      </c>
      <c r="AH14" s="121"/>
      <c r="AI14" s="121">
        <v>1</v>
      </c>
      <c r="AJ14" s="122"/>
      <c r="AK14" s="122"/>
      <c r="AL14" s="122" t="s">
        <v>352</v>
      </c>
      <c r="AM14" s="122"/>
      <c r="AN14" s="122"/>
      <c r="AO14" s="122"/>
      <c r="AP14" s="122"/>
      <c r="AQ14" s="122"/>
      <c r="AR14" s="122"/>
      <c r="AS14" s="121">
        <v>11</v>
      </c>
      <c r="AT14" s="121">
        <v>1</v>
      </c>
      <c r="AU14" s="121">
        <v>2</v>
      </c>
      <c r="AV14" s="121"/>
      <c r="AW14" s="121">
        <v>1</v>
      </c>
      <c r="AX14" s="121">
        <v>1</v>
      </c>
      <c r="AY14" s="121">
        <v>11</v>
      </c>
      <c r="AZ14" s="121">
        <v>10000</v>
      </c>
      <c r="BA14" s="121">
        <v>8</v>
      </c>
      <c r="BB14" s="121">
        <v>2</v>
      </c>
      <c r="BC14" s="121">
        <v>1</v>
      </c>
      <c r="BD14" s="121">
        <v>34</v>
      </c>
      <c r="BE14" s="121">
        <v>64</v>
      </c>
      <c r="BF14" s="121">
        <v>54</v>
      </c>
      <c r="BG14" s="121">
        <v>1</v>
      </c>
      <c r="BH14" s="121">
        <v>4</v>
      </c>
      <c r="BI14" s="121">
        <v>1</v>
      </c>
      <c r="BJ14" s="121">
        <v>21</v>
      </c>
      <c r="BK14" s="121">
        <v>21</v>
      </c>
      <c r="BL14" s="121">
        <v>20</v>
      </c>
      <c r="BM14" s="121">
        <v>1585</v>
      </c>
      <c r="BN14" s="124">
        <v>29.069084490000002</v>
      </c>
      <c r="BO14" s="124">
        <v>-95.427146129999997</v>
      </c>
      <c r="BP14" s="122"/>
      <c r="BQ14" s="121"/>
      <c r="BR14" s="122"/>
      <c r="BS14" s="122"/>
      <c r="BT14" s="122" t="s">
        <v>356</v>
      </c>
      <c r="BU14" s="121">
        <v>3938</v>
      </c>
      <c r="BV14" s="121"/>
      <c r="BW14" s="121"/>
      <c r="BX14" s="122"/>
      <c r="BY14" s="121"/>
      <c r="BZ14" s="122"/>
      <c r="CA14" s="122"/>
      <c r="CB14" s="122"/>
      <c r="CC14" s="122"/>
      <c r="CD14" s="122" t="s">
        <v>355</v>
      </c>
      <c r="CE14" s="122"/>
      <c r="CF14" s="122"/>
      <c r="CG14" s="122"/>
      <c r="CH14" s="122"/>
      <c r="CI14" s="122" t="s">
        <v>142</v>
      </c>
      <c r="CJ14" s="122" t="s">
        <v>141</v>
      </c>
      <c r="CK14" s="122" t="s">
        <v>142</v>
      </c>
      <c r="CL14" s="121">
        <v>3</v>
      </c>
      <c r="CM14" s="121">
        <v>0</v>
      </c>
      <c r="CN14" s="122" t="s">
        <v>142</v>
      </c>
      <c r="CO14" s="122" t="s">
        <v>337</v>
      </c>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1">
        <v>0</v>
      </c>
      <c r="ET14" s="121">
        <v>0</v>
      </c>
      <c r="EU14" s="121">
        <v>1</v>
      </c>
      <c r="EV14" s="121">
        <v>1</v>
      </c>
      <c r="EW14" s="121">
        <v>0</v>
      </c>
      <c r="EX14" s="121">
        <v>1</v>
      </c>
      <c r="EY14" s="121">
        <v>0</v>
      </c>
      <c r="EZ14" s="121">
        <v>2011</v>
      </c>
      <c r="FA14" s="121">
        <v>2011</v>
      </c>
      <c r="FB14" s="121">
        <v>20</v>
      </c>
      <c r="FC14" s="121">
        <v>288</v>
      </c>
      <c r="FD14" s="122" t="s">
        <v>352</v>
      </c>
    </row>
    <row r="15" spans="1:160" x14ac:dyDescent="0.25">
      <c r="A15" s="121">
        <v>11736233</v>
      </c>
      <c r="B15" s="122" t="s">
        <v>141</v>
      </c>
      <c r="C15" s="122" t="s">
        <v>141</v>
      </c>
      <c r="D15" s="122" t="s">
        <v>141</v>
      </c>
      <c r="E15" s="122" t="s">
        <v>141</v>
      </c>
      <c r="F15" s="122" t="s">
        <v>142</v>
      </c>
      <c r="G15" s="122" t="s">
        <v>141</v>
      </c>
      <c r="H15" s="122" t="s">
        <v>141</v>
      </c>
      <c r="I15" s="118">
        <v>40484</v>
      </c>
      <c r="J15" s="123">
        <v>0.81944444444444453</v>
      </c>
      <c r="K15" s="122"/>
      <c r="L15" s="121">
        <v>20</v>
      </c>
      <c r="M15" s="121">
        <v>1585</v>
      </c>
      <c r="N15" s="122" t="s">
        <v>142</v>
      </c>
      <c r="O15" s="122" t="s">
        <v>142</v>
      </c>
      <c r="P15" s="120">
        <v>29.069299999999998</v>
      </c>
      <c r="Q15" s="120">
        <v>-95.427300000000002</v>
      </c>
      <c r="R15" s="121">
        <v>15</v>
      </c>
      <c r="S15" s="121">
        <v>288</v>
      </c>
      <c r="T15" s="121"/>
      <c r="U15" s="121">
        <v>1</v>
      </c>
      <c r="V15" s="122"/>
      <c r="W15" s="122"/>
      <c r="X15" s="122" t="s">
        <v>352</v>
      </c>
      <c r="Y15" s="122"/>
      <c r="Z15" s="122" t="s">
        <v>141</v>
      </c>
      <c r="AA15" s="122" t="s">
        <v>141</v>
      </c>
      <c r="AB15" s="121">
        <v>45</v>
      </c>
      <c r="AC15" s="122" t="s">
        <v>141</v>
      </c>
      <c r="AD15" s="122" t="s">
        <v>141</v>
      </c>
      <c r="AE15" s="122" t="s">
        <v>141</v>
      </c>
      <c r="AF15" s="121">
        <v>15</v>
      </c>
      <c r="AG15" s="121">
        <v>687</v>
      </c>
      <c r="AH15" s="121"/>
      <c r="AI15" s="121"/>
      <c r="AJ15" s="122"/>
      <c r="AK15" s="122"/>
      <c r="AL15" s="122" t="s">
        <v>352</v>
      </c>
      <c r="AM15" s="122"/>
      <c r="AN15" s="122"/>
      <c r="AO15" s="122"/>
      <c r="AP15" s="122"/>
      <c r="AQ15" s="122"/>
      <c r="AR15" s="122"/>
      <c r="AS15" s="121">
        <v>11</v>
      </c>
      <c r="AT15" s="121">
        <v>3</v>
      </c>
      <c r="AU15" s="121">
        <v>0</v>
      </c>
      <c r="AV15" s="121"/>
      <c r="AW15" s="121">
        <v>1</v>
      </c>
      <c r="AX15" s="121">
        <v>1</v>
      </c>
      <c r="AY15" s="121">
        <v>11</v>
      </c>
      <c r="AZ15" s="121">
        <v>10000</v>
      </c>
      <c r="BA15" s="121">
        <v>8</v>
      </c>
      <c r="BB15" s="121">
        <v>7</v>
      </c>
      <c r="BC15" s="121">
        <v>2</v>
      </c>
      <c r="BD15" s="121">
        <v>1</v>
      </c>
      <c r="BE15" s="121">
        <v>32</v>
      </c>
      <c r="BF15" s="121">
        <v>54</v>
      </c>
      <c r="BG15" s="121">
        <v>1</v>
      </c>
      <c r="BH15" s="121">
        <v>4</v>
      </c>
      <c r="BI15" s="121">
        <v>2</v>
      </c>
      <c r="BJ15" s="121">
        <v>21</v>
      </c>
      <c r="BK15" s="121">
        <v>21</v>
      </c>
      <c r="BL15" s="121">
        <v>20</v>
      </c>
      <c r="BM15" s="121">
        <v>1585</v>
      </c>
      <c r="BN15" s="124">
        <v>29.069308809999999</v>
      </c>
      <c r="BO15" s="124">
        <v>-95.427160270000002</v>
      </c>
      <c r="BP15" s="122"/>
      <c r="BQ15" s="121"/>
      <c r="BR15" s="122"/>
      <c r="BS15" s="122"/>
      <c r="BT15" s="122" t="s">
        <v>356</v>
      </c>
      <c r="BU15" s="121">
        <v>3951</v>
      </c>
      <c r="BV15" s="121"/>
      <c r="BW15" s="121"/>
      <c r="BX15" s="122"/>
      <c r="BY15" s="121"/>
      <c r="BZ15" s="122"/>
      <c r="CA15" s="122"/>
      <c r="CB15" s="122"/>
      <c r="CC15" s="122"/>
      <c r="CD15" s="122" t="s">
        <v>355</v>
      </c>
      <c r="CE15" s="122"/>
      <c r="CF15" s="122"/>
      <c r="CG15" s="122"/>
      <c r="CH15" s="122"/>
      <c r="CI15" s="122" t="s">
        <v>142</v>
      </c>
      <c r="CJ15" s="122" t="s">
        <v>141</v>
      </c>
      <c r="CK15" s="122" t="s">
        <v>142</v>
      </c>
      <c r="CL15" s="121">
        <v>1</v>
      </c>
      <c r="CM15" s="121">
        <v>0</v>
      </c>
      <c r="CN15" s="122" t="s">
        <v>142</v>
      </c>
      <c r="CO15" s="122" t="s">
        <v>346</v>
      </c>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2"/>
      <c r="DQ15" s="122"/>
      <c r="DR15" s="122"/>
      <c r="DS15" s="122"/>
      <c r="DT15" s="122"/>
      <c r="DU15" s="122"/>
      <c r="DV15" s="122"/>
      <c r="DW15" s="122"/>
      <c r="DX15" s="122"/>
      <c r="DY15" s="122"/>
      <c r="DZ15" s="122"/>
      <c r="EA15" s="122"/>
      <c r="EB15" s="122"/>
      <c r="EC15" s="122"/>
      <c r="ED15" s="122"/>
      <c r="EE15" s="122"/>
      <c r="EF15" s="122"/>
      <c r="EG15" s="122"/>
      <c r="EH15" s="122"/>
      <c r="EI15" s="122"/>
      <c r="EJ15" s="122"/>
      <c r="EK15" s="122"/>
      <c r="EL15" s="122"/>
      <c r="EM15" s="122"/>
      <c r="EN15" s="122"/>
      <c r="EO15" s="122"/>
      <c r="EP15" s="122"/>
      <c r="EQ15" s="122"/>
      <c r="ER15" s="122"/>
      <c r="ES15" s="121">
        <v>1</v>
      </c>
      <c r="ET15" s="121">
        <v>0</v>
      </c>
      <c r="EU15" s="121">
        <v>0</v>
      </c>
      <c r="EV15" s="121">
        <v>0</v>
      </c>
      <c r="EW15" s="121">
        <v>0</v>
      </c>
      <c r="EX15" s="121">
        <v>1</v>
      </c>
      <c r="EY15" s="121">
        <v>0</v>
      </c>
      <c r="EZ15" s="121">
        <v>2010</v>
      </c>
      <c r="FA15" s="121">
        <v>2010</v>
      </c>
      <c r="FB15" s="121">
        <v>20</v>
      </c>
      <c r="FC15" s="121">
        <v>288</v>
      </c>
      <c r="FD15" s="122" t="s">
        <v>352</v>
      </c>
    </row>
    <row r="16" spans="1:160" x14ac:dyDescent="0.25">
      <c r="A16" s="121">
        <v>12337540</v>
      </c>
      <c r="B16" s="122" t="s">
        <v>141</v>
      </c>
      <c r="C16" s="122" t="s">
        <v>141</v>
      </c>
      <c r="D16" s="122" t="s">
        <v>141</v>
      </c>
      <c r="E16" s="122" t="s">
        <v>141</v>
      </c>
      <c r="F16" s="122" t="s">
        <v>141</v>
      </c>
      <c r="G16" s="122" t="s">
        <v>141</v>
      </c>
      <c r="H16" s="122" t="s">
        <v>141</v>
      </c>
      <c r="I16" s="118">
        <v>40814</v>
      </c>
      <c r="J16" s="123">
        <v>0.27777777777777779</v>
      </c>
      <c r="K16" s="122"/>
      <c r="L16" s="121">
        <v>20</v>
      </c>
      <c r="M16" s="121">
        <v>1585</v>
      </c>
      <c r="N16" s="122" t="s">
        <v>142</v>
      </c>
      <c r="O16" s="122" t="s">
        <v>142</v>
      </c>
      <c r="P16" s="120">
        <v>29.073129999999999</v>
      </c>
      <c r="Q16" s="120">
        <v>-95.427480000000003</v>
      </c>
      <c r="R16" s="121">
        <v>15</v>
      </c>
      <c r="S16" s="121">
        <v>288</v>
      </c>
      <c r="T16" s="121"/>
      <c r="U16" s="121">
        <v>1</v>
      </c>
      <c r="V16" s="122"/>
      <c r="W16" s="122"/>
      <c r="X16" s="122" t="s">
        <v>352</v>
      </c>
      <c r="Y16" s="122"/>
      <c r="Z16" s="122" t="s">
        <v>141</v>
      </c>
      <c r="AA16" s="122" t="s">
        <v>141</v>
      </c>
      <c r="AB16" s="121">
        <v>45</v>
      </c>
      <c r="AC16" s="122" t="s">
        <v>141</v>
      </c>
      <c r="AD16" s="122" t="s">
        <v>141</v>
      </c>
      <c r="AE16" s="122" t="s">
        <v>141</v>
      </c>
      <c r="AF16" s="121"/>
      <c r="AG16" s="121"/>
      <c r="AH16" s="121"/>
      <c r="AI16" s="121"/>
      <c r="AJ16" s="122"/>
      <c r="AK16" s="122"/>
      <c r="AL16" s="122" t="s">
        <v>352</v>
      </c>
      <c r="AM16" s="122"/>
      <c r="AN16" s="122">
        <v>0.2</v>
      </c>
      <c r="AO16" s="122" t="s">
        <v>357</v>
      </c>
      <c r="AP16" s="122" t="s">
        <v>141</v>
      </c>
      <c r="AQ16" s="122">
        <v>687</v>
      </c>
      <c r="AR16" s="122"/>
      <c r="AS16" s="121">
        <v>11</v>
      </c>
      <c r="AT16" s="121">
        <v>3</v>
      </c>
      <c r="AU16" s="121">
        <v>0</v>
      </c>
      <c r="AV16" s="121"/>
      <c r="AW16" s="121">
        <v>1</v>
      </c>
      <c r="AX16" s="121">
        <v>1</v>
      </c>
      <c r="AY16" s="121">
        <v>11</v>
      </c>
      <c r="AZ16" s="121">
        <v>10000</v>
      </c>
      <c r="BA16" s="121">
        <v>8</v>
      </c>
      <c r="BB16" s="121">
        <v>6</v>
      </c>
      <c r="BC16" s="121">
        <v>4</v>
      </c>
      <c r="BD16" s="121">
        <v>1</v>
      </c>
      <c r="BE16" s="121">
        <v>64</v>
      </c>
      <c r="BF16" s="121">
        <v>54</v>
      </c>
      <c r="BG16" s="121">
        <v>1</v>
      </c>
      <c r="BH16" s="121">
        <v>4</v>
      </c>
      <c r="BI16" s="121">
        <v>1</v>
      </c>
      <c r="BJ16" s="121">
        <v>21</v>
      </c>
      <c r="BK16" s="121">
        <v>21</v>
      </c>
      <c r="BL16" s="121">
        <v>20</v>
      </c>
      <c r="BM16" s="121">
        <v>1585</v>
      </c>
      <c r="BN16" s="124">
        <v>29.073135059999998</v>
      </c>
      <c r="BO16" s="124">
        <v>-95.427410269999996</v>
      </c>
      <c r="BP16" s="122"/>
      <c r="BQ16" s="121"/>
      <c r="BR16" s="122"/>
      <c r="BS16" s="122"/>
      <c r="BT16" s="122" t="s">
        <v>358</v>
      </c>
      <c r="BU16" s="121">
        <v>4176</v>
      </c>
      <c r="BV16" s="121"/>
      <c r="BW16" s="121"/>
      <c r="BX16" s="122"/>
      <c r="BY16" s="121"/>
      <c r="BZ16" s="122"/>
      <c r="CA16" s="122"/>
      <c r="CB16" s="122"/>
      <c r="CC16" s="122"/>
      <c r="CD16" s="122" t="s">
        <v>352</v>
      </c>
      <c r="CE16" s="122"/>
      <c r="CF16" s="122"/>
      <c r="CG16" s="122"/>
      <c r="CH16" s="122"/>
      <c r="CI16" s="122" t="s">
        <v>142</v>
      </c>
      <c r="CJ16" s="122" t="s">
        <v>141</v>
      </c>
      <c r="CK16" s="122" t="s">
        <v>142</v>
      </c>
      <c r="CL16" s="121">
        <v>5</v>
      </c>
      <c r="CM16" s="121">
        <v>0</v>
      </c>
      <c r="CN16" s="122" t="s">
        <v>142</v>
      </c>
      <c r="CO16" s="122" t="s">
        <v>330</v>
      </c>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2"/>
      <c r="DQ16" s="122"/>
      <c r="DR16" s="122"/>
      <c r="DS16" s="122"/>
      <c r="DT16" s="122"/>
      <c r="DU16" s="122"/>
      <c r="DV16" s="122"/>
      <c r="DW16" s="122"/>
      <c r="DX16" s="122"/>
      <c r="DY16" s="122"/>
      <c r="DZ16" s="122"/>
      <c r="EA16" s="122"/>
      <c r="EB16" s="122"/>
      <c r="EC16" s="122"/>
      <c r="ED16" s="122"/>
      <c r="EE16" s="122"/>
      <c r="EF16" s="122"/>
      <c r="EG16" s="122"/>
      <c r="EH16" s="122"/>
      <c r="EI16" s="122"/>
      <c r="EJ16" s="122"/>
      <c r="EK16" s="122"/>
      <c r="EL16" s="122"/>
      <c r="EM16" s="122"/>
      <c r="EN16" s="122"/>
      <c r="EO16" s="122"/>
      <c r="EP16" s="122"/>
      <c r="EQ16" s="122"/>
      <c r="ER16" s="122"/>
      <c r="ES16" s="121">
        <v>0</v>
      </c>
      <c r="ET16" s="121">
        <v>0</v>
      </c>
      <c r="EU16" s="121">
        <v>0</v>
      </c>
      <c r="EV16" s="121">
        <v>1</v>
      </c>
      <c r="EW16" s="121">
        <v>0</v>
      </c>
      <c r="EX16" s="121">
        <v>0</v>
      </c>
      <c r="EY16" s="121">
        <v>0</v>
      </c>
      <c r="EZ16" s="121">
        <v>2011</v>
      </c>
      <c r="FA16" s="121">
        <v>2011</v>
      </c>
      <c r="FB16" s="121">
        <v>20</v>
      </c>
      <c r="FC16" s="121">
        <v>288</v>
      </c>
      <c r="FD16" s="122" t="s">
        <v>352</v>
      </c>
    </row>
    <row r="17" spans="1:160" x14ac:dyDescent="0.25">
      <c r="A17" s="121">
        <v>12622094</v>
      </c>
      <c r="B17" s="122" t="s">
        <v>141</v>
      </c>
      <c r="C17" s="122" t="s">
        <v>141</v>
      </c>
      <c r="D17" s="122" t="s">
        <v>141</v>
      </c>
      <c r="E17" s="122" t="s">
        <v>141</v>
      </c>
      <c r="F17" s="122" t="s">
        <v>141</v>
      </c>
      <c r="G17" s="122" t="s">
        <v>142</v>
      </c>
      <c r="H17" s="122" t="s">
        <v>141</v>
      </c>
      <c r="I17" s="118">
        <v>40922</v>
      </c>
      <c r="J17" s="123">
        <v>0.97361111111111109</v>
      </c>
      <c r="K17" s="122"/>
      <c r="L17" s="121">
        <v>20</v>
      </c>
      <c r="M17" s="121">
        <v>1585</v>
      </c>
      <c r="N17" s="122" t="s">
        <v>142</v>
      </c>
      <c r="O17" s="122" t="s">
        <v>142</v>
      </c>
      <c r="P17" s="120">
        <v>29.081199999999999</v>
      </c>
      <c r="Q17" s="120">
        <v>-95.42792</v>
      </c>
      <c r="R17" s="121">
        <v>15</v>
      </c>
      <c r="S17" s="121">
        <v>288</v>
      </c>
      <c r="T17" s="121"/>
      <c r="U17" s="121">
        <v>1</v>
      </c>
      <c r="V17" s="122"/>
      <c r="W17" s="122"/>
      <c r="X17" s="122" t="s">
        <v>352</v>
      </c>
      <c r="Y17" s="122"/>
      <c r="Z17" s="122" t="s">
        <v>141</v>
      </c>
      <c r="AA17" s="122" t="s">
        <v>141</v>
      </c>
      <c r="AB17" s="121">
        <v>45</v>
      </c>
      <c r="AC17" s="122" t="s">
        <v>141</v>
      </c>
      <c r="AD17" s="122" t="s">
        <v>141</v>
      </c>
      <c r="AE17" s="122" t="s">
        <v>141</v>
      </c>
      <c r="AF17" s="121">
        <v>15</v>
      </c>
      <c r="AG17" s="121">
        <v>687</v>
      </c>
      <c r="AH17" s="121"/>
      <c r="AI17" s="121"/>
      <c r="AJ17" s="122"/>
      <c r="AK17" s="122"/>
      <c r="AL17" s="122" t="s">
        <v>352</v>
      </c>
      <c r="AM17" s="122"/>
      <c r="AN17" s="122"/>
      <c r="AO17" s="122"/>
      <c r="AP17" s="122"/>
      <c r="AQ17" s="122"/>
      <c r="AR17" s="122"/>
      <c r="AS17" s="121">
        <v>11</v>
      </c>
      <c r="AT17" s="121">
        <v>3</v>
      </c>
      <c r="AU17" s="121">
        <v>0</v>
      </c>
      <c r="AV17" s="121"/>
      <c r="AW17" s="121">
        <v>1</v>
      </c>
      <c r="AX17" s="121">
        <v>1</v>
      </c>
      <c r="AY17" s="121">
        <v>11</v>
      </c>
      <c r="AZ17" s="121">
        <v>10000</v>
      </c>
      <c r="BA17" s="121">
        <v>8</v>
      </c>
      <c r="BB17" s="121">
        <v>7</v>
      </c>
      <c r="BC17" s="121">
        <v>4</v>
      </c>
      <c r="BD17" s="121">
        <v>1</v>
      </c>
      <c r="BE17" s="121">
        <v>32</v>
      </c>
      <c r="BF17" s="121">
        <v>54</v>
      </c>
      <c r="BG17" s="121">
        <v>1</v>
      </c>
      <c r="BH17" s="121">
        <v>4</v>
      </c>
      <c r="BI17" s="121">
        <v>2</v>
      </c>
      <c r="BJ17" s="121">
        <v>21</v>
      </c>
      <c r="BK17" s="121">
        <v>21</v>
      </c>
      <c r="BL17" s="121">
        <v>20</v>
      </c>
      <c r="BM17" s="121">
        <v>1585</v>
      </c>
      <c r="BN17" s="124">
        <v>29.081195409999999</v>
      </c>
      <c r="BO17" s="124">
        <v>-95.427989139999994</v>
      </c>
      <c r="BP17" s="122"/>
      <c r="BQ17" s="121"/>
      <c r="BR17" s="122"/>
      <c r="BS17" s="122"/>
      <c r="BT17" s="122" t="s">
        <v>359</v>
      </c>
      <c r="BU17" s="121">
        <v>4650</v>
      </c>
      <c r="BV17" s="121"/>
      <c r="BW17" s="121"/>
      <c r="BX17" s="122"/>
      <c r="BY17" s="121"/>
      <c r="BZ17" s="122"/>
      <c r="CA17" s="122"/>
      <c r="CB17" s="122"/>
      <c r="CC17" s="122"/>
      <c r="CD17" s="122" t="s">
        <v>329</v>
      </c>
      <c r="CE17" s="122"/>
      <c r="CF17" s="122"/>
      <c r="CG17" s="122"/>
      <c r="CH17" s="122"/>
      <c r="CI17" s="122" t="s">
        <v>142</v>
      </c>
      <c r="CJ17" s="122" t="s">
        <v>141</v>
      </c>
      <c r="CK17" s="122" t="s">
        <v>142</v>
      </c>
      <c r="CL17" s="121">
        <v>0</v>
      </c>
      <c r="CM17" s="121">
        <v>0</v>
      </c>
      <c r="CN17" s="122" t="s">
        <v>142</v>
      </c>
      <c r="CO17" s="122" t="s">
        <v>144</v>
      </c>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2"/>
      <c r="DQ17" s="122"/>
      <c r="DR17" s="122"/>
      <c r="DS17" s="122"/>
      <c r="DT17" s="122"/>
      <c r="DU17" s="122"/>
      <c r="DV17" s="122"/>
      <c r="DW17" s="122"/>
      <c r="DX17" s="122"/>
      <c r="DY17" s="122"/>
      <c r="DZ17" s="122"/>
      <c r="EA17" s="122"/>
      <c r="EB17" s="122"/>
      <c r="EC17" s="122"/>
      <c r="ED17" s="122"/>
      <c r="EE17" s="122"/>
      <c r="EF17" s="122"/>
      <c r="EG17" s="122"/>
      <c r="EH17" s="122"/>
      <c r="EI17" s="122"/>
      <c r="EJ17" s="122"/>
      <c r="EK17" s="122"/>
      <c r="EL17" s="122"/>
      <c r="EM17" s="122"/>
      <c r="EN17" s="122"/>
      <c r="EO17" s="122"/>
      <c r="EP17" s="122"/>
      <c r="EQ17" s="122"/>
      <c r="ER17" s="122"/>
      <c r="ES17" s="121">
        <v>0</v>
      </c>
      <c r="ET17" s="121">
        <v>0</v>
      </c>
      <c r="EU17" s="121">
        <v>0</v>
      </c>
      <c r="EV17" s="121">
        <v>0</v>
      </c>
      <c r="EW17" s="121">
        <v>1</v>
      </c>
      <c r="EX17" s="121">
        <v>0</v>
      </c>
      <c r="EY17" s="121">
        <v>0</v>
      </c>
      <c r="EZ17" s="121">
        <v>2012</v>
      </c>
      <c r="FA17" s="121">
        <v>2012</v>
      </c>
      <c r="FB17" s="121">
        <v>20</v>
      </c>
      <c r="FC17" s="121">
        <v>288</v>
      </c>
      <c r="FD17" s="122" t="s">
        <v>352</v>
      </c>
    </row>
    <row r="18" spans="1:160" x14ac:dyDescent="0.25">
      <c r="A18" s="121">
        <v>11562840</v>
      </c>
      <c r="B18" s="122" t="s">
        <v>141</v>
      </c>
      <c r="C18" s="122" t="s">
        <v>141</v>
      </c>
      <c r="D18" s="122" t="s">
        <v>141</v>
      </c>
      <c r="E18" s="122" t="s">
        <v>141</v>
      </c>
      <c r="F18" s="122" t="s">
        <v>141</v>
      </c>
      <c r="G18" s="122" t="s">
        <v>141</v>
      </c>
      <c r="H18" s="122" t="s">
        <v>141</v>
      </c>
      <c r="I18" s="118">
        <v>40244</v>
      </c>
      <c r="J18" s="123">
        <v>0.1076388888888889</v>
      </c>
      <c r="K18" s="122"/>
      <c r="L18" s="121">
        <v>20</v>
      </c>
      <c r="M18" s="121">
        <v>1585</v>
      </c>
      <c r="N18" s="122" t="s">
        <v>142</v>
      </c>
      <c r="O18" s="122" t="s">
        <v>142</v>
      </c>
      <c r="P18" s="120">
        <v>29.084150000000001</v>
      </c>
      <c r="Q18" s="120">
        <v>-95.428219999999996</v>
      </c>
      <c r="R18" s="121">
        <v>15</v>
      </c>
      <c r="S18" s="121">
        <v>288</v>
      </c>
      <c r="T18" s="121"/>
      <c r="U18" s="121">
        <v>1</v>
      </c>
      <c r="V18" s="122"/>
      <c r="W18" s="122"/>
      <c r="X18" s="122" t="s">
        <v>352</v>
      </c>
      <c r="Y18" s="122"/>
      <c r="Z18" s="122" t="s">
        <v>141</v>
      </c>
      <c r="AA18" s="122" t="s">
        <v>141</v>
      </c>
      <c r="AB18" s="121">
        <v>45</v>
      </c>
      <c r="AC18" s="122" t="s">
        <v>141</v>
      </c>
      <c r="AD18" s="122" t="s">
        <v>141</v>
      </c>
      <c r="AE18" s="122" t="s">
        <v>141</v>
      </c>
      <c r="AF18" s="121">
        <v>15</v>
      </c>
      <c r="AG18" s="121">
        <v>687</v>
      </c>
      <c r="AH18" s="121"/>
      <c r="AI18" s="121"/>
      <c r="AJ18" s="122"/>
      <c r="AK18" s="122"/>
      <c r="AL18" s="122" t="s">
        <v>352</v>
      </c>
      <c r="AM18" s="122"/>
      <c r="AN18" s="122"/>
      <c r="AO18" s="122"/>
      <c r="AP18" s="122"/>
      <c r="AQ18" s="122"/>
      <c r="AR18" s="122"/>
      <c r="AS18" s="121">
        <v>11</v>
      </c>
      <c r="AT18" s="121">
        <v>3</v>
      </c>
      <c r="AU18" s="121">
        <v>0</v>
      </c>
      <c r="AV18" s="121"/>
      <c r="AW18" s="121">
        <v>1</v>
      </c>
      <c r="AX18" s="121">
        <v>1</v>
      </c>
      <c r="AY18" s="121">
        <v>11</v>
      </c>
      <c r="AZ18" s="121">
        <v>10000</v>
      </c>
      <c r="BA18" s="121">
        <v>8</v>
      </c>
      <c r="BB18" s="121">
        <v>2</v>
      </c>
      <c r="BC18" s="121">
        <v>3</v>
      </c>
      <c r="BD18" s="121">
        <v>14</v>
      </c>
      <c r="BE18" s="121">
        <v>64</v>
      </c>
      <c r="BF18" s="121">
        <v>14</v>
      </c>
      <c r="BG18" s="121">
        <v>1</v>
      </c>
      <c r="BH18" s="121">
        <v>4</v>
      </c>
      <c r="BI18" s="121">
        <v>1</v>
      </c>
      <c r="BJ18" s="121">
        <v>32</v>
      </c>
      <c r="BK18" s="121">
        <v>21</v>
      </c>
      <c r="BL18" s="121">
        <v>20</v>
      </c>
      <c r="BM18" s="121">
        <v>1585</v>
      </c>
      <c r="BN18" s="124">
        <v>29.0841554</v>
      </c>
      <c r="BO18" s="124">
        <v>-95.428155810000007</v>
      </c>
      <c r="BP18" s="122"/>
      <c r="BQ18" s="121"/>
      <c r="BR18" s="122"/>
      <c r="BS18" s="122"/>
      <c r="BT18" s="122" t="s">
        <v>359</v>
      </c>
      <c r="BU18" s="121">
        <v>4821</v>
      </c>
      <c r="BV18" s="121"/>
      <c r="BW18" s="121"/>
      <c r="BX18" s="122"/>
      <c r="BY18" s="121"/>
      <c r="BZ18" s="122"/>
      <c r="CA18" s="122"/>
      <c r="CB18" s="122"/>
      <c r="CC18" s="122"/>
      <c r="CD18" s="122" t="s">
        <v>329</v>
      </c>
      <c r="CE18" s="122"/>
      <c r="CF18" s="122"/>
      <c r="CG18" s="122"/>
      <c r="CH18" s="122"/>
      <c r="CI18" s="122" t="s">
        <v>142</v>
      </c>
      <c r="CJ18" s="122" t="s">
        <v>141</v>
      </c>
      <c r="CK18" s="122" t="s">
        <v>142</v>
      </c>
      <c r="CL18" s="121">
        <v>5</v>
      </c>
      <c r="CM18" s="121">
        <v>0</v>
      </c>
      <c r="CN18" s="122" t="s">
        <v>142</v>
      </c>
      <c r="CO18" s="122" t="s">
        <v>335</v>
      </c>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2"/>
      <c r="DQ18" s="122"/>
      <c r="DR18" s="122"/>
      <c r="DS18" s="122"/>
      <c r="DT18" s="122"/>
      <c r="DU18" s="122"/>
      <c r="DV18" s="122"/>
      <c r="DW18" s="122"/>
      <c r="DX18" s="122"/>
      <c r="DY18" s="122"/>
      <c r="DZ18" s="122"/>
      <c r="EA18" s="122"/>
      <c r="EB18" s="122"/>
      <c r="EC18" s="122"/>
      <c r="ED18" s="122"/>
      <c r="EE18" s="122"/>
      <c r="EF18" s="122"/>
      <c r="EG18" s="122"/>
      <c r="EH18" s="122"/>
      <c r="EI18" s="122"/>
      <c r="EJ18" s="122"/>
      <c r="EK18" s="122"/>
      <c r="EL18" s="122"/>
      <c r="EM18" s="122"/>
      <c r="EN18" s="122"/>
      <c r="EO18" s="122"/>
      <c r="EP18" s="122"/>
      <c r="EQ18" s="122"/>
      <c r="ER18" s="122"/>
      <c r="ES18" s="121">
        <v>0</v>
      </c>
      <c r="ET18" s="121">
        <v>0</v>
      </c>
      <c r="EU18" s="121">
        <v>0</v>
      </c>
      <c r="EV18" s="121">
        <v>3</v>
      </c>
      <c r="EW18" s="121">
        <v>0</v>
      </c>
      <c r="EX18" s="121">
        <v>0</v>
      </c>
      <c r="EY18" s="121">
        <v>0</v>
      </c>
      <c r="EZ18" s="121">
        <v>2010</v>
      </c>
      <c r="FA18" s="121">
        <v>2010</v>
      </c>
      <c r="FB18" s="121">
        <v>20</v>
      </c>
      <c r="FC18" s="121">
        <v>288</v>
      </c>
      <c r="FD18" s="122" t="s">
        <v>352</v>
      </c>
    </row>
    <row r="19" spans="1:160" x14ac:dyDescent="0.25">
      <c r="A19" s="121">
        <v>13147467</v>
      </c>
      <c r="B19" s="122" t="s">
        <v>141</v>
      </c>
      <c r="C19" s="122" t="s">
        <v>141</v>
      </c>
      <c r="D19" s="122" t="s">
        <v>141</v>
      </c>
      <c r="E19" s="122" t="s">
        <v>141</v>
      </c>
      <c r="F19" s="122" t="s">
        <v>141</v>
      </c>
      <c r="G19" s="122" t="s">
        <v>141</v>
      </c>
      <c r="H19" s="122" t="s">
        <v>141</v>
      </c>
      <c r="I19" s="118">
        <v>41326</v>
      </c>
      <c r="J19" s="123">
        <v>0.25972222222222224</v>
      </c>
      <c r="K19" s="122"/>
      <c r="L19" s="121">
        <v>20</v>
      </c>
      <c r="M19" s="121">
        <v>1585</v>
      </c>
      <c r="N19" s="122" t="s">
        <v>142</v>
      </c>
      <c r="O19" s="122" t="s">
        <v>142</v>
      </c>
      <c r="P19" s="120">
        <v>29.084620000000001</v>
      </c>
      <c r="Q19" s="120">
        <v>-95.428309999999996</v>
      </c>
      <c r="R19" s="121">
        <v>15</v>
      </c>
      <c r="S19" s="121">
        <v>288</v>
      </c>
      <c r="T19" s="121"/>
      <c r="U19" s="121">
        <v>1</v>
      </c>
      <c r="V19" s="122"/>
      <c r="W19" s="122"/>
      <c r="X19" s="122" t="s">
        <v>352</v>
      </c>
      <c r="Y19" s="122"/>
      <c r="Z19" s="122" t="s">
        <v>141</v>
      </c>
      <c r="AA19" s="122" t="s">
        <v>141</v>
      </c>
      <c r="AB19" s="121">
        <v>45</v>
      </c>
      <c r="AC19" s="122" t="s">
        <v>141</v>
      </c>
      <c r="AD19" s="122" t="s">
        <v>141</v>
      </c>
      <c r="AE19" s="122" t="s">
        <v>141</v>
      </c>
      <c r="AF19" s="121">
        <v>15</v>
      </c>
      <c r="AG19" s="121">
        <v>687</v>
      </c>
      <c r="AH19" s="121"/>
      <c r="AI19" s="121"/>
      <c r="AJ19" s="122"/>
      <c r="AK19" s="122"/>
      <c r="AL19" s="122" t="s">
        <v>352</v>
      </c>
      <c r="AM19" s="122"/>
      <c r="AN19" s="122"/>
      <c r="AO19" s="122"/>
      <c r="AP19" s="122"/>
      <c r="AQ19" s="122"/>
      <c r="AR19" s="122"/>
      <c r="AS19" s="121">
        <v>12</v>
      </c>
      <c r="AT19" s="121">
        <v>3</v>
      </c>
      <c r="AU19" s="121">
        <v>0</v>
      </c>
      <c r="AV19" s="121"/>
      <c r="AW19" s="121">
        <v>1</v>
      </c>
      <c r="AX19" s="121">
        <v>2</v>
      </c>
      <c r="AY19" s="121">
        <v>11</v>
      </c>
      <c r="AZ19" s="121">
        <v>10000</v>
      </c>
      <c r="BA19" s="121">
        <v>8</v>
      </c>
      <c r="BB19" s="121">
        <v>7</v>
      </c>
      <c r="BC19" s="121">
        <v>4</v>
      </c>
      <c r="BD19" s="121">
        <v>1</v>
      </c>
      <c r="BE19" s="121">
        <v>63</v>
      </c>
      <c r="BF19" s="121">
        <v>3</v>
      </c>
      <c r="BG19" s="121">
        <v>1</v>
      </c>
      <c r="BH19" s="121">
        <v>4</v>
      </c>
      <c r="BI19" s="121">
        <v>2</v>
      </c>
      <c r="BJ19" s="121">
        <v>21</v>
      </c>
      <c r="BK19" s="121">
        <v>21</v>
      </c>
      <c r="BL19" s="121">
        <v>20</v>
      </c>
      <c r="BM19" s="121">
        <v>1585</v>
      </c>
      <c r="BN19" s="124">
        <v>29.084657</v>
      </c>
      <c r="BO19" s="124">
        <v>-95.428197999999995</v>
      </c>
      <c r="BP19" s="122"/>
      <c r="BQ19" s="121"/>
      <c r="BR19" s="122"/>
      <c r="BS19" s="122"/>
      <c r="BT19" s="122" t="s">
        <v>359</v>
      </c>
      <c r="BU19" s="121">
        <v>4842</v>
      </c>
      <c r="BV19" s="121"/>
      <c r="BW19" s="121"/>
      <c r="BX19" s="122"/>
      <c r="BY19" s="121"/>
      <c r="BZ19" s="122"/>
      <c r="CA19" s="122"/>
      <c r="CB19" s="122"/>
      <c r="CC19" s="122"/>
      <c r="CD19" s="122" t="s">
        <v>329</v>
      </c>
      <c r="CE19" s="122"/>
      <c r="CF19" s="122"/>
      <c r="CG19" s="122"/>
      <c r="CH19" s="122"/>
      <c r="CI19" s="122" t="s">
        <v>142</v>
      </c>
      <c r="CJ19" s="122" t="s">
        <v>141</v>
      </c>
      <c r="CK19" s="122" t="s">
        <v>142</v>
      </c>
      <c r="CL19" s="121">
        <v>2</v>
      </c>
      <c r="CM19" s="121">
        <v>0</v>
      </c>
      <c r="CN19" s="122" t="s">
        <v>142</v>
      </c>
      <c r="CO19" s="122" t="s">
        <v>339</v>
      </c>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2"/>
      <c r="DQ19" s="122"/>
      <c r="DR19" s="122"/>
      <c r="DS19" s="122"/>
      <c r="DT19" s="122"/>
      <c r="DU19" s="122"/>
      <c r="DV19" s="122"/>
      <c r="DW19" s="122"/>
      <c r="DX19" s="122"/>
      <c r="DY19" s="122"/>
      <c r="DZ19" s="122"/>
      <c r="EA19" s="122"/>
      <c r="EB19" s="122"/>
      <c r="EC19" s="122"/>
      <c r="ED19" s="122"/>
      <c r="EE19" s="122"/>
      <c r="EF19" s="122"/>
      <c r="EG19" s="122"/>
      <c r="EH19" s="122"/>
      <c r="EI19" s="122"/>
      <c r="EJ19" s="122"/>
      <c r="EK19" s="122"/>
      <c r="EL19" s="122"/>
      <c r="EM19" s="122"/>
      <c r="EN19" s="122"/>
      <c r="EO19" s="122"/>
      <c r="EP19" s="122"/>
      <c r="EQ19" s="122"/>
      <c r="ER19" s="122"/>
      <c r="ES19" s="121">
        <v>0</v>
      </c>
      <c r="ET19" s="121">
        <v>1</v>
      </c>
      <c r="EU19" s="121">
        <v>0</v>
      </c>
      <c r="EV19" s="121">
        <v>2</v>
      </c>
      <c r="EW19" s="121">
        <v>0</v>
      </c>
      <c r="EX19" s="121">
        <v>1</v>
      </c>
      <c r="EY19" s="121">
        <v>0</v>
      </c>
      <c r="EZ19" s="121">
        <v>2013</v>
      </c>
      <c r="FA19" s="121">
        <v>2013</v>
      </c>
      <c r="FB19" s="121">
        <v>20</v>
      </c>
      <c r="FC19" s="121">
        <v>288</v>
      </c>
      <c r="FD19" s="122" t="s">
        <v>352</v>
      </c>
    </row>
    <row r="20" spans="1:160" x14ac:dyDescent="0.25">
      <c r="A20" s="121">
        <v>12504281</v>
      </c>
      <c r="B20" s="122" t="s">
        <v>141</v>
      </c>
      <c r="C20" s="122" t="s">
        <v>141</v>
      </c>
      <c r="D20" s="122" t="s">
        <v>141</v>
      </c>
      <c r="E20" s="122" t="s">
        <v>141</v>
      </c>
      <c r="F20" s="122" t="s">
        <v>141</v>
      </c>
      <c r="G20" s="122" t="s">
        <v>141</v>
      </c>
      <c r="H20" s="122" t="s">
        <v>141</v>
      </c>
      <c r="I20" s="118">
        <v>40897</v>
      </c>
      <c r="J20" s="123">
        <v>0.5625</v>
      </c>
      <c r="K20" s="122"/>
      <c r="L20" s="121">
        <v>20</v>
      </c>
      <c r="M20" s="121">
        <v>1585</v>
      </c>
      <c r="N20" s="122" t="s">
        <v>142</v>
      </c>
      <c r="O20" s="122" t="s">
        <v>142</v>
      </c>
      <c r="P20" s="120">
        <v>29.0854</v>
      </c>
      <c r="Q20" s="120">
        <v>-95.428250000000006</v>
      </c>
      <c r="R20" s="121">
        <v>15</v>
      </c>
      <c r="S20" s="121">
        <v>288</v>
      </c>
      <c r="T20" s="121"/>
      <c r="U20" s="121">
        <v>1</v>
      </c>
      <c r="V20" s="122"/>
      <c r="W20" s="122"/>
      <c r="X20" s="122" t="s">
        <v>352</v>
      </c>
      <c r="Y20" s="122"/>
      <c r="Z20" s="122" t="s">
        <v>141</v>
      </c>
      <c r="AA20" s="122" t="s">
        <v>141</v>
      </c>
      <c r="AB20" s="121">
        <v>45</v>
      </c>
      <c r="AC20" s="122" t="s">
        <v>141</v>
      </c>
      <c r="AD20" s="122" t="s">
        <v>141</v>
      </c>
      <c r="AE20" s="122" t="s">
        <v>141</v>
      </c>
      <c r="AF20" s="121">
        <v>15</v>
      </c>
      <c r="AG20" s="121">
        <v>687</v>
      </c>
      <c r="AH20" s="121"/>
      <c r="AI20" s="121"/>
      <c r="AJ20" s="122"/>
      <c r="AK20" s="122"/>
      <c r="AL20" s="122" t="s">
        <v>352</v>
      </c>
      <c r="AM20" s="122"/>
      <c r="AN20" s="122"/>
      <c r="AO20" s="122"/>
      <c r="AP20" s="122"/>
      <c r="AQ20" s="122"/>
      <c r="AR20" s="122"/>
      <c r="AS20" s="121">
        <v>12</v>
      </c>
      <c r="AT20" s="121">
        <v>1</v>
      </c>
      <c r="AU20" s="121">
        <v>0</v>
      </c>
      <c r="AV20" s="121"/>
      <c r="AW20" s="121">
        <v>1</v>
      </c>
      <c r="AX20" s="121">
        <v>1</v>
      </c>
      <c r="AY20" s="121">
        <v>11</v>
      </c>
      <c r="AZ20" s="121">
        <v>10000</v>
      </c>
      <c r="BA20" s="121">
        <v>8</v>
      </c>
      <c r="BB20" s="121">
        <v>10</v>
      </c>
      <c r="BC20" s="121">
        <v>4</v>
      </c>
      <c r="BD20" s="121">
        <v>1</v>
      </c>
      <c r="BE20" s="121">
        <v>1</v>
      </c>
      <c r="BF20" s="121">
        <v>54</v>
      </c>
      <c r="BG20" s="121">
        <v>1</v>
      </c>
      <c r="BH20" s="121">
        <v>4</v>
      </c>
      <c r="BI20" s="121">
        <v>2</v>
      </c>
      <c r="BJ20" s="121">
        <v>21</v>
      </c>
      <c r="BK20" s="121">
        <v>21</v>
      </c>
      <c r="BL20" s="121">
        <v>20</v>
      </c>
      <c r="BM20" s="121">
        <v>1585</v>
      </c>
      <c r="BN20" s="124">
        <v>29.085399079999998</v>
      </c>
      <c r="BO20" s="124">
        <v>-95.428260850000001</v>
      </c>
      <c r="BP20" s="122"/>
      <c r="BQ20" s="121"/>
      <c r="BR20" s="122"/>
      <c r="BS20" s="122"/>
      <c r="BT20" s="122" t="s">
        <v>359</v>
      </c>
      <c r="BU20" s="121">
        <v>4869</v>
      </c>
      <c r="BV20" s="121"/>
      <c r="BW20" s="121"/>
      <c r="BX20" s="122"/>
      <c r="BY20" s="121"/>
      <c r="BZ20" s="122"/>
      <c r="CA20" s="122"/>
      <c r="CB20" s="122"/>
      <c r="CC20" s="122"/>
      <c r="CD20" s="122" t="s">
        <v>329</v>
      </c>
      <c r="CE20" s="122"/>
      <c r="CF20" s="122"/>
      <c r="CG20" s="122"/>
      <c r="CH20" s="122"/>
      <c r="CI20" s="122" t="s">
        <v>142</v>
      </c>
      <c r="CJ20" s="122" t="s">
        <v>141</v>
      </c>
      <c r="CK20" s="122" t="s">
        <v>142</v>
      </c>
      <c r="CL20" s="121">
        <v>3</v>
      </c>
      <c r="CM20" s="121">
        <v>0</v>
      </c>
      <c r="CN20" s="122" t="s">
        <v>142</v>
      </c>
      <c r="CO20" s="122" t="s">
        <v>346</v>
      </c>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2"/>
      <c r="DQ20" s="122"/>
      <c r="DR20" s="122"/>
      <c r="DS20" s="122"/>
      <c r="DT20" s="122"/>
      <c r="DU20" s="122"/>
      <c r="DV20" s="122"/>
      <c r="DW20" s="122"/>
      <c r="DX20" s="122"/>
      <c r="DY20" s="122"/>
      <c r="DZ20" s="122"/>
      <c r="EA20" s="122"/>
      <c r="EB20" s="122"/>
      <c r="EC20" s="122"/>
      <c r="ED20" s="122"/>
      <c r="EE20" s="122"/>
      <c r="EF20" s="122"/>
      <c r="EG20" s="122"/>
      <c r="EH20" s="122"/>
      <c r="EI20" s="122"/>
      <c r="EJ20" s="122"/>
      <c r="EK20" s="122"/>
      <c r="EL20" s="122"/>
      <c r="EM20" s="122"/>
      <c r="EN20" s="122"/>
      <c r="EO20" s="122"/>
      <c r="EP20" s="122"/>
      <c r="EQ20" s="122"/>
      <c r="ER20" s="122"/>
      <c r="ES20" s="121">
        <v>0</v>
      </c>
      <c r="ET20" s="121">
        <v>0</v>
      </c>
      <c r="EU20" s="121">
        <v>1</v>
      </c>
      <c r="EV20" s="121">
        <v>0</v>
      </c>
      <c r="EW20" s="121">
        <v>0</v>
      </c>
      <c r="EX20" s="121">
        <v>1</v>
      </c>
      <c r="EY20" s="121">
        <v>0</v>
      </c>
      <c r="EZ20" s="121">
        <v>2011</v>
      </c>
      <c r="FA20" s="121">
        <v>2011</v>
      </c>
      <c r="FB20" s="121">
        <v>20</v>
      </c>
      <c r="FC20" s="121">
        <v>288</v>
      </c>
      <c r="FD20" s="122" t="s">
        <v>352</v>
      </c>
    </row>
    <row r="21" spans="1:160" x14ac:dyDescent="0.25">
      <c r="A21" s="121">
        <v>11937563</v>
      </c>
      <c r="B21" s="122" t="s">
        <v>141</v>
      </c>
      <c r="C21" s="122" t="s">
        <v>141</v>
      </c>
      <c r="D21" s="122" t="s">
        <v>141</v>
      </c>
      <c r="E21" s="122" t="s">
        <v>141</v>
      </c>
      <c r="F21" s="122" t="s">
        <v>141</v>
      </c>
      <c r="G21" s="122" t="s">
        <v>142</v>
      </c>
      <c r="H21" s="122" t="s">
        <v>141</v>
      </c>
      <c r="I21" s="118">
        <v>40552</v>
      </c>
      <c r="J21" s="123">
        <v>1.1805555555555555E-2</v>
      </c>
      <c r="K21" s="122"/>
      <c r="L21" s="121">
        <v>20</v>
      </c>
      <c r="M21" s="121">
        <v>1585</v>
      </c>
      <c r="N21" s="122" t="s">
        <v>142</v>
      </c>
      <c r="O21" s="122" t="s">
        <v>142</v>
      </c>
      <c r="P21" s="120">
        <v>29.0867</v>
      </c>
      <c r="Q21" s="120">
        <v>-95.428349999999995</v>
      </c>
      <c r="R21" s="121">
        <v>15</v>
      </c>
      <c r="S21" s="121">
        <v>288</v>
      </c>
      <c r="T21" s="121"/>
      <c r="U21" s="121">
        <v>1</v>
      </c>
      <c r="V21" s="122"/>
      <c r="W21" s="122"/>
      <c r="X21" s="122" t="s">
        <v>352</v>
      </c>
      <c r="Y21" s="122"/>
      <c r="Z21" s="122" t="s">
        <v>141</v>
      </c>
      <c r="AA21" s="122" t="s">
        <v>141</v>
      </c>
      <c r="AB21" s="121">
        <v>45</v>
      </c>
      <c r="AC21" s="122" t="s">
        <v>141</v>
      </c>
      <c r="AD21" s="122" t="s">
        <v>141</v>
      </c>
      <c r="AE21" s="122" t="s">
        <v>141</v>
      </c>
      <c r="AF21" s="121">
        <v>15</v>
      </c>
      <c r="AG21" s="121">
        <v>687</v>
      </c>
      <c r="AH21" s="121"/>
      <c r="AI21" s="121"/>
      <c r="AJ21" s="122"/>
      <c r="AK21" s="122"/>
      <c r="AL21" s="122" t="s">
        <v>352</v>
      </c>
      <c r="AM21" s="122"/>
      <c r="AN21" s="122"/>
      <c r="AO21" s="122"/>
      <c r="AP21" s="122"/>
      <c r="AQ21" s="122"/>
      <c r="AR21" s="122"/>
      <c r="AS21" s="121">
        <v>11</v>
      </c>
      <c r="AT21" s="121">
        <v>3</v>
      </c>
      <c r="AU21" s="121">
        <v>0</v>
      </c>
      <c r="AV21" s="121"/>
      <c r="AW21" s="121">
        <v>1</v>
      </c>
      <c r="AX21" s="121">
        <v>1</v>
      </c>
      <c r="AY21" s="121">
        <v>11</v>
      </c>
      <c r="AZ21" s="121">
        <v>10000</v>
      </c>
      <c r="BA21" s="121">
        <v>8</v>
      </c>
      <c r="BB21" s="121">
        <v>10</v>
      </c>
      <c r="BC21" s="121">
        <v>4</v>
      </c>
      <c r="BD21" s="121">
        <v>1</v>
      </c>
      <c r="BE21" s="121">
        <v>1</v>
      </c>
      <c r="BF21" s="121">
        <v>3</v>
      </c>
      <c r="BG21" s="121">
        <v>1</v>
      </c>
      <c r="BH21" s="121">
        <v>4</v>
      </c>
      <c r="BI21" s="121">
        <v>2</v>
      </c>
      <c r="BJ21" s="121">
        <v>21</v>
      </c>
      <c r="BK21" s="121">
        <v>21</v>
      </c>
      <c r="BL21" s="121">
        <v>20</v>
      </c>
      <c r="BM21" s="121">
        <v>1585</v>
      </c>
      <c r="BN21" s="124">
        <v>29.0866997</v>
      </c>
      <c r="BO21" s="124">
        <v>-95.428354859999999</v>
      </c>
      <c r="BP21" s="122"/>
      <c r="BQ21" s="121"/>
      <c r="BR21" s="122"/>
      <c r="BS21" s="122"/>
      <c r="BT21" s="122" t="s">
        <v>359</v>
      </c>
      <c r="BU21" s="121">
        <v>4921</v>
      </c>
      <c r="BV21" s="121"/>
      <c r="BW21" s="121"/>
      <c r="BX21" s="122"/>
      <c r="BY21" s="121"/>
      <c r="BZ21" s="122"/>
      <c r="CA21" s="122"/>
      <c r="CB21" s="122"/>
      <c r="CC21" s="122"/>
      <c r="CD21" s="122" t="s">
        <v>329</v>
      </c>
      <c r="CE21" s="122"/>
      <c r="CF21" s="122"/>
      <c r="CG21" s="122"/>
      <c r="CH21" s="122"/>
      <c r="CI21" s="122" t="s">
        <v>142</v>
      </c>
      <c r="CJ21" s="122" t="s">
        <v>141</v>
      </c>
      <c r="CK21" s="122" t="s">
        <v>142</v>
      </c>
      <c r="CL21" s="121">
        <v>5</v>
      </c>
      <c r="CM21" s="121">
        <v>0</v>
      </c>
      <c r="CN21" s="122" t="s">
        <v>142</v>
      </c>
      <c r="CO21" s="122" t="s">
        <v>335</v>
      </c>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2"/>
      <c r="DQ21" s="122"/>
      <c r="DR21" s="122"/>
      <c r="DS21" s="122"/>
      <c r="DT21" s="122"/>
      <c r="DU21" s="122"/>
      <c r="DV21" s="122"/>
      <c r="DW21" s="122"/>
      <c r="DX21" s="122"/>
      <c r="DY21" s="122"/>
      <c r="DZ21" s="122"/>
      <c r="EA21" s="122"/>
      <c r="EB21" s="122"/>
      <c r="EC21" s="122"/>
      <c r="ED21" s="122"/>
      <c r="EE21" s="122"/>
      <c r="EF21" s="122"/>
      <c r="EG21" s="122"/>
      <c r="EH21" s="122"/>
      <c r="EI21" s="122"/>
      <c r="EJ21" s="122"/>
      <c r="EK21" s="122"/>
      <c r="EL21" s="122"/>
      <c r="EM21" s="122"/>
      <c r="EN21" s="122"/>
      <c r="EO21" s="122"/>
      <c r="EP21" s="122"/>
      <c r="EQ21" s="122"/>
      <c r="ER21" s="122"/>
      <c r="ES21" s="121">
        <v>0</v>
      </c>
      <c r="ET21" s="121">
        <v>0</v>
      </c>
      <c r="EU21" s="121">
        <v>0</v>
      </c>
      <c r="EV21" s="121">
        <v>1</v>
      </c>
      <c r="EW21" s="121">
        <v>1</v>
      </c>
      <c r="EX21" s="121">
        <v>0</v>
      </c>
      <c r="EY21" s="121">
        <v>0</v>
      </c>
      <c r="EZ21" s="121">
        <v>2011</v>
      </c>
      <c r="FA21" s="121">
        <v>2011</v>
      </c>
      <c r="FB21" s="121">
        <v>20</v>
      </c>
      <c r="FC21" s="121">
        <v>288</v>
      </c>
      <c r="FD21" s="122" t="s">
        <v>352</v>
      </c>
    </row>
    <row r="22" spans="1:160" x14ac:dyDescent="0.25">
      <c r="A22" s="121">
        <v>13584073</v>
      </c>
      <c r="B22" s="122" t="s">
        <v>141</v>
      </c>
      <c r="C22" s="122" t="s">
        <v>141</v>
      </c>
      <c r="D22" s="122" t="s">
        <v>141</v>
      </c>
      <c r="E22" s="122" t="s">
        <v>141</v>
      </c>
      <c r="F22" s="122" t="s">
        <v>141</v>
      </c>
      <c r="G22" s="122" t="s">
        <v>142</v>
      </c>
      <c r="H22" s="122" t="s">
        <v>141</v>
      </c>
      <c r="I22" s="118">
        <v>41606</v>
      </c>
      <c r="J22" s="123">
        <v>0.76388888888888884</v>
      </c>
      <c r="K22" s="122"/>
      <c r="L22" s="121">
        <v>20</v>
      </c>
      <c r="M22" s="121">
        <v>1585</v>
      </c>
      <c r="N22" s="122" t="s">
        <v>142</v>
      </c>
      <c r="O22" s="122" t="s">
        <v>142</v>
      </c>
      <c r="P22" s="120">
        <v>29.087319999999998</v>
      </c>
      <c r="Q22" s="120">
        <v>-95.413600000000002</v>
      </c>
      <c r="R22" s="121">
        <v>9</v>
      </c>
      <c r="S22" s="121">
        <v>288</v>
      </c>
      <c r="T22" s="121"/>
      <c r="U22" s="121">
        <v>1</v>
      </c>
      <c r="V22" s="122"/>
      <c r="W22" s="122"/>
      <c r="X22" s="122" t="s">
        <v>352</v>
      </c>
      <c r="Y22" s="122"/>
      <c r="Z22" s="122" t="s">
        <v>141</v>
      </c>
      <c r="AA22" s="122" t="s">
        <v>141</v>
      </c>
      <c r="AB22" s="121">
        <v>50</v>
      </c>
      <c r="AC22" s="122" t="s">
        <v>141</v>
      </c>
      <c r="AD22" s="122" t="s">
        <v>141</v>
      </c>
      <c r="AE22" s="122" t="s">
        <v>142</v>
      </c>
      <c r="AF22" s="121">
        <v>15</v>
      </c>
      <c r="AG22" s="121">
        <v>687</v>
      </c>
      <c r="AH22" s="121"/>
      <c r="AI22" s="121">
        <v>1</v>
      </c>
      <c r="AJ22" s="122"/>
      <c r="AK22" s="122"/>
      <c r="AL22" s="122" t="s">
        <v>352</v>
      </c>
      <c r="AM22" s="122"/>
      <c r="AN22" s="122"/>
      <c r="AO22" s="122"/>
      <c r="AP22" s="122"/>
      <c r="AQ22" s="122"/>
      <c r="AR22" s="122"/>
      <c r="AS22" s="121">
        <v>11</v>
      </c>
      <c r="AT22" s="121">
        <v>4</v>
      </c>
      <c r="AU22" s="121">
        <v>0</v>
      </c>
      <c r="AV22" s="121">
        <v>2</v>
      </c>
      <c r="AW22" s="121">
        <v>1</v>
      </c>
      <c r="AX22" s="121">
        <v>1</v>
      </c>
      <c r="AY22" s="121">
        <v>20</v>
      </c>
      <c r="AZ22" s="121">
        <v>10000</v>
      </c>
      <c r="BA22" s="121">
        <v>8</v>
      </c>
      <c r="BB22" s="121">
        <v>2</v>
      </c>
      <c r="BC22" s="121">
        <v>1</v>
      </c>
      <c r="BD22" s="121">
        <v>10</v>
      </c>
      <c r="BE22" s="121">
        <v>64</v>
      </c>
      <c r="BF22" s="121">
        <v>54</v>
      </c>
      <c r="BG22" s="121">
        <v>1</v>
      </c>
      <c r="BH22" s="121">
        <v>2</v>
      </c>
      <c r="BI22" s="121">
        <v>1</v>
      </c>
      <c r="BJ22" s="121">
        <v>21</v>
      </c>
      <c r="BK22" s="121">
        <v>21</v>
      </c>
      <c r="BL22" s="121">
        <v>20</v>
      </c>
      <c r="BM22" s="121">
        <v>1585</v>
      </c>
      <c r="BN22" s="124">
        <v>29.08752483</v>
      </c>
      <c r="BO22" s="124">
        <v>-95.413739570000004</v>
      </c>
      <c r="BP22" s="122" t="s">
        <v>347</v>
      </c>
      <c r="BQ22" s="121">
        <v>288</v>
      </c>
      <c r="BR22" s="122" t="s">
        <v>348</v>
      </c>
      <c r="BS22" s="122">
        <v>13.872999999999999</v>
      </c>
      <c r="BT22" s="122" t="s">
        <v>349</v>
      </c>
      <c r="BU22" s="121">
        <v>18195</v>
      </c>
      <c r="BV22" s="121">
        <v>111</v>
      </c>
      <c r="BW22" s="121">
        <v>7</v>
      </c>
      <c r="BX22" s="122">
        <v>5.4530000000000003</v>
      </c>
      <c r="BY22" s="121">
        <v>518</v>
      </c>
      <c r="BZ22" s="122">
        <v>-0.153</v>
      </c>
      <c r="CA22" s="122"/>
      <c r="CB22" s="122"/>
      <c r="CC22" s="122"/>
      <c r="CD22" s="122" t="s">
        <v>360</v>
      </c>
      <c r="CE22" s="122"/>
      <c r="CF22" s="122"/>
      <c r="CG22" s="122"/>
      <c r="CH22" s="122"/>
      <c r="CI22" s="122" t="s">
        <v>142</v>
      </c>
      <c r="CJ22" s="122" t="s">
        <v>142</v>
      </c>
      <c r="CK22" s="122" t="s">
        <v>142</v>
      </c>
      <c r="CL22" s="121">
        <v>5</v>
      </c>
      <c r="CM22" s="121">
        <v>0</v>
      </c>
      <c r="CN22" s="122" t="s">
        <v>142</v>
      </c>
      <c r="CO22" s="122" t="s">
        <v>339</v>
      </c>
      <c r="CP22" s="121">
        <v>3</v>
      </c>
      <c r="CQ22" s="121">
        <v>0</v>
      </c>
      <c r="CR22" s="121">
        <v>0</v>
      </c>
      <c r="CS22" s="121">
        <v>9</v>
      </c>
      <c r="CT22" s="121">
        <v>20</v>
      </c>
      <c r="CU22" s="121">
        <v>9</v>
      </c>
      <c r="CV22" s="121">
        <v>4</v>
      </c>
      <c r="CW22" s="121">
        <v>300</v>
      </c>
      <c r="CX22" s="121">
        <v>70</v>
      </c>
      <c r="CY22" s="121">
        <v>46</v>
      </c>
      <c r="CZ22" s="121">
        <v>6</v>
      </c>
      <c r="DA22" s="121">
        <v>1</v>
      </c>
      <c r="DB22" s="121">
        <v>0</v>
      </c>
      <c r="DC22" s="121">
        <v>1</v>
      </c>
      <c r="DD22" s="121">
        <v>0</v>
      </c>
      <c r="DE22" s="121">
        <v>0</v>
      </c>
      <c r="DF22" s="121">
        <v>2</v>
      </c>
      <c r="DG22" s="121">
        <v>18</v>
      </c>
      <c r="DH22" s="121">
        <v>5</v>
      </c>
      <c r="DI22" s="121">
        <v>1</v>
      </c>
      <c r="DJ22" s="121">
        <v>20</v>
      </c>
      <c r="DK22" s="121">
        <v>3</v>
      </c>
      <c r="DL22" s="121">
        <v>14</v>
      </c>
      <c r="DM22" s="121">
        <v>12400</v>
      </c>
      <c r="DN22" s="121">
        <v>2011</v>
      </c>
      <c r="DO22" s="121">
        <v>12400</v>
      </c>
      <c r="DP22" s="122">
        <v>6.2</v>
      </c>
      <c r="DQ22" s="122">
        <v>7</v>
      </c>
      <c r="DR22" s="122">
        <v>13.3</v>
      </c>
      <c r="DS22" s="122"/>
      <c r="DT22" s="122"/>
      <c r="DU22" s="122"/>
      <c r="DV22" s="122"/>
      <c r="DW22" s="122"/>
      <c r="DX22" s="122"/>
      <c r="DY22" s="122"/>
      <c r="DZ22" s="122"/>
      <c r="EA22" s="122"/>
      <c r="EB22" s="122"/>
      <c r="EC22" s="122"/>
      <c r="ED22" s="122"/>
      <c r="EE22" s="122"/>
      <c r="EF22" s="122"/>
      <c r="EG22" s="122"/>
      <c r="EH22" s="122"/>
      <c r="EI22" s="122"/>
      <c r="EJ22" s="122"/>
      <c r="EK22" s="122"/>
      <c r="EL22" s="122"/>
      <c r="EM22" s="122"/>
      <c r="EN22" s="122"/>
      <c r="EO22" s="122"/>
      <c r="EP22" s="122"/>
      <c r="EQ22" s="122"/>
      <c r="ER22" s="122"/>
      <c r="ES22" s="121">
        <v>0</v>
      </c>
      <c r="ET22" s="121">
        <v>0</v>
      </c>
      <c r="EU22" s="121">
        <v>0</v>
      </c>
      <c r="EV22" s="121">
        <v>5</v>
      </c>
      <c r="EW22" s="121">
        <v>0</v>
      </c>
      <c r="EX22" s="121">
        <v>0</v>
      </c>
      <c r="EY22" s="121">
        <v>0</v>
      </c>
      <c r="EZ22" s="121">
        <v>2013</v>
      </c>
      <c r="FA22" s="121">
        <v>2013</v>
      </c>
      <c r="FB22" s="121">
        <v>20</v>
      </c>
      <c r="FC22" s="121">
        <v>288</v>
      </c>
      <c r="FD22" s="122" t="s">
        <v>352</v>
      </c>
    </row>
    <row r="23" spans="1:160" x14ac:dyDescent="0.25">
      <c r="A23" s="121">
        <v>11679404</v>
      </c>
      <c r="B23" s="122" t="s">
        <v>141</v>
      </c>
      <c r="C23" s="122" t="s">
        <v>141</v>
      </c>
      <c r="D23" s="122" t="s">
        <v>141</v>
      </c>
      <c r="E23" s="122" t="s">
        <v>141</v>
      </c>
      <c r="F23" s="122" t="s">
        <v>141</v>
      </c>
      <c r="G23" s="122" t="s">
        <v>141</v>
      </c>
      <c r="H23" s="122" t="s">
        <v>141</v>
      </c>
      <c r="I23" s="118">
        <v>40442</v>
      </c>
      <c r="J23" s="123">
        <v>0.71527777777777779</v>
      </c>
      <c r="K23" s="122"/>
      <c r="L23" s="121">
        <v>20</v>
      </c>
      <c r="M23" s="121">
        <v>1585</v>
      </c>
      <c r="N23" s="122" t="s">
        <v>142</v>
      </c>
      <c r="O23" s="122" t="s">
        <v>142</v>
      </c>
      <c r="P23" s="120">
        <v>29.08738</v>
      </c>
      <c r="Q23" s="120">
        <v>-95.414469999999994</v>
      </c>
      <c r="R23" s="121">
        <v>9</v>
      </c>
      <c r="S23" s="121">
        <v>288</v>
      </c>
      <c r="T23" s="121"/>
      <c r="U23" s="121">
        <v>1</v>
      </c>
      <c r="V23" s="122"/>
      <c r="W23" s="122"/>
      <c r="X23" s="122" t="s">
        <v>352</v>
      </c>
      <c r="Y23" s="122"/>
      <c r="Z23" s="122" t="s">
        <v>141</v>
      </c>
      <c r="AA23" s="122" t="s">
        <v>141</v>
      </c>
      <c r="AB23" s="121">
        <v>60</v>
      </c>
      <c r="AC23" s="122" t="s">
        <v>141</v>
      </c>
      <c r="AD23" s="122" t="s">
        <v>141</v>
      </c>
      <c r="AE23" s="122" t="s">
        <v>141</v>
      </c>
      <c r="AF23" s="121">
        <v>15</v>
      </c>
      <c r="AG23" s="121">
        <v>687</v>
      </c>
      <c r="AH23" s="121"/>
      <c r="AI23" s="121"/>
      <c r="AJ23" s="122"/>
      <c r="AK23" s="122"/>
      <c r="AL23" s="122" t="s">
        <v>352</v>
      </c>
      <c r="AM23" s="122"/>
      <c r="AN23" s="122"/>
      <c r="AO23" s="122"/>
      <c r="AP23" s="122"/>
      <c r="AQ23" s="122"/>
      <c r="AR23" s="122"/>
      <c r="AS23" s="121">
        <v>11</v>
      </c>
      <c r="AT23" s="121">
        <v>1</v>
      </c>
      <c r="AU23" s="121">
        <v>0</v>
      </c>
      <c r="AV23" s="121">
        <v>2</v>
      </c>
      <c r="AW23" s="121">
        <v>1</v>
      </c>
      <c r="AX23" s="121">
        <v>1</v>
      </c>
      <c r="AY23" s="121">
        <v>11</v>
      </c>
      <c r="AZ23" s="121">
        <v>10000</v>
      </c>
      <c r="BA23" s="121">
        <v>8</v>
      </c>
      <c r="BB23" s="121">
        <v>2</v>
      </c>
      <c r="BC23" s="121">
        <v>4</v>
      </c>
      <c r="BD23" s="121">
        <v>21</v>
      </c>
      <c r="BE23" s="121">
        <v>64</v>
      </c>
      <c r="BF23" s="121">
        <v>9</v>
      </c>
      <c r="BG23" s="121">
        <v>1</v>
      </c>
      <c r="BH23" s="121">
        <v>2</v>
      </c>
      <c r="BI23" s="121">
        <v>1</v>
      </c>
      <c r="BJ23" s="121">
        <v>21</v>
      </c>
      <c r="BK23" s="121">
        <v>21</v>
      </c>
      <c r="BL23" s="121">
        <v>20</v>
      </c>
      <c r="BM23" s="121">
        <v>1585</v>
      </c>
      <c r="BN23" s="124">
        <v>29.0889135</v>
      </c>
      <c r="BO23" s="124">
        <v>-95.414157829999994</v>
      </c>
      <c r="BP23" s="122" t="s">
        <v>347</v>
      </c>
      <c r="BQ23" s="121">
        <v>288</v>
      </c>
      <c r="BR23" s="122" t="s">
        <v>348</v>
      </c>
      <c r="BS23" s="122">
        <v>13.773999999999999</v>
      </c>
      <c r="BT23" s="122" t="s">
        <v>349</v>
      </c>
      <c r="BU23" s="121"/>
      <c r="BV23" s="121">
        <v>111</v>
      </c>
      <c r="BW23" s="121">
        <v>7</v>
      </c>
      <c r="BX23" s="122">
        <v>5.3529999999999998</v>
      </c>
      <c r="BY23" s="121">
        <v>518</v>
      </c>
      <c r="BZ23" s="122">
        <v>-0.252</v>
      </c>
      <c r="CA23" s="122"/>
      <c r="CB23" s="122"/>
      <c r="CC23" s="122"/>
      <c r="CD23" s="122" t="s">
        <v>329</v>
      </c>
      <c r="CE23" s="122"/>
      <c r="CF23" s="122"/>
      <c r="CG23" s="122"/>
      <c r="CH23" s="122"/>
      <c r="CI23" s="122" t="s">
        <v>142</v>
      </c>
      <c r="CJ23" s="122" t="s">
        <v>142</v>
      </c>
      <c r="CK23" s="122" t="s">
        <v>142</v>
      </c>
      <c r="CL23" s="121">
        <v>5</v>
      </c>
      <c r="CM23" s="121">
        <v>0</v>
      </c>
      <c r="CN23" s="122" t="s">
        <v>142</v>
      </c>
      <c r="CO23" s="122" t="s">
        <v>346</v>
      </c>
      <c r="CP23" s="121">
        <v>3</v>
      </c>
      <c r="CQ23" s="121">
        <v>0</v>
      </c>
      <c r="CR23" s="121">
        <v>0</v>
      </c>
      <c r="CS23" s="121">
        <v>9</v>
      </c>
      <c r="CT23" s="121">
        <v>20</v>
      </c>
      <c r="CU23" s="121">
        <v>9</v>
      </c>
      <c r="CV23" s="121">
        <v>4</v>
      </c>
      <c r="CW23" s="121">
        <v>300</v>
      </c>
      <c r="CX23" s="121">
        <v>70</v>
      </c>
      <c r="CY23" s="121">
        <v>46</v>
      </c>
      <c r="CZ23" s="121">
        <v>6</v>
      </c>
      <c r="DA23" s="121">
        <v>1</v>
      </c>
      <c r="DB23" s="121">
        <v>0</v>
      </c>
      <c r="DC23" s="121">
        <v>1</v>
      </c>
      <c r="DD23" s="121">
        <v>0</v>
      </c>
      <c r="DE23" s="121">
        <v>0</v>
      </c>
      <c r="DF23" s="121">
        <v>2</v>
      </c>
      <c r="DG23" s="121">
        <v>18</v>
      </c>
      <c r="DH23" s="121">
        <v>5</v>
      </c>
      <c r="DI23" s="121">
        <v>1</v>
      </c>
      <c r="DJ23" s="121">
        <v>20</v>
      </c>
      <c r="DK23" s="121">
        <v>3</v>
      </c>
      <c r="DL23" s="121">
        <v>14</v>
      </c>
      <c r="DM23" s="121">
        <v>12400</v>
      </c>
      <c r="DN23" s="121">
        <v>2011</v>
      </c>
      <c r="DO23" s="121">
        <v>12400</v>
      </c>
      <c r="DP23" s="122">
        <v>6.2</v>
      </c>
      <c r="DQ23" s="122">
        <v>7</v>
      </c>
      <c r="DR23" s="122">
        <v>13.3</v>
      </c>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1">
        <v>0</v>
      </c>
      <c r="ET23" s="121">
        <v>0</v>
      </c>
      <c r="EU23" s="121">
        <v>0</v>
      </c>
      <c r="EV23" s="121">
        <v>2</v>
      </c>
      <c r="EW23" s="121">
        <v>0</v>
      </c>
      <c r="EX23" s="121">
        <v>0</v>
      </c>
      <c r="EY23" s="121">
        <v>0</v>
      </c>
      <c r="EZ23" s="121">
        <v>2010</v>
      </c>
      <c r="FA23" s="121">
        <v>2010</v>
      </c>
      <c r="FB23" s="121">
        <v>20</v>
      </c>
      <c r="FC23" s="121">
        <v>288</v>
      </c>
      <c r="FD23" s="122" t="s">
        <v>352</v>
      </c>
    </row>
    <row r="24" spans="1:160" x14ac:dyDescent="0.25">
      <c r="A24" s="121">
        <v>13392633</v>
      </c>
      <c r="B24" s="122" t="s">
        <v>141</v>
      </c>
      <c r="C24" s="122" t="s">
        <v>141</v>
      </c>
      <c r="D24" s="122" t="s">
        <v>141</v>
      </c>
      <c r="E24" s="122" t="s">
        <v>141</v>
      </c>
      <c r="F24" s="122" t="s">
        <v>141</v>
      </c>
      <c r="G24" s="122" t="s">
        <v>141</v>
      </c>
      <c r="H24" s="122" t="s">
        <v>141</v>
      </c>
      <c r="I24" s="118">
        <v>41483</v>
      </c>
      <c r="J24" s="123">
        <v>4.8611111111111112E-3</v>
      </c>
      <c r="K24" s="122"/>
      <c r="L24" s="121">
        <v>20</v>
      </c>
      <c r="M24" s="121">
        <v>1585</v>
      </c>
      <c r="N24" s="122" t="s">
        <v>142</v>
      </c>
      <c r="O24" s="122" t="s">
        <v>142</v>
      </c>
      <c r="P24" s="120">
        <v>29.087519990000001</v>
      </c>
      <c r="Q24" s="120">
        <v>-95.413520000000005</v>
      </c>
      <c r="R24" s="121">
        <v>9</v>
      </c>
      <c r="S24" s="121">
        <v>288</v>
      </c>
      <c r="T24" s="121"/>
      <c r="U24" s="121">
        <v>1</v>
      </c>
      <c r="V24" s="122"/>
      <c r="W24" s="122"/>
      <c r="X24" s="122" t="s">
        <v>352</v>
      </c>
      <c r="Y24" s="122"/>
      <c r="Z24" s="122" t="s">
        <v>141</v>
      </c>
      <c r="AA24" s="122" t="s">
        <v>141</v>
      </c>
      <c r="AB24" s="121">
        <v>50</v>
      </c>
      <c r="AC24" s="122" t="s">
        <v>142</v>
      </c>
      <c r="AD24" s="122" t="s">
        <v>141</v>
      </c>
      <c r="AE24" s="122" t="s">
        <v>141</v>
      </c>
      <c r="AF24" s="121">
        <v>15</v>
      </c>
      <c r="AG24" s="121">
        <v>687</v>
      </c>
      <c r="AH24" s="121"/>
      <c r="AI24" s="121"/>
      <c r="AJ24" s="122"/>
      <c r="AK24" s="122"/>
      <c r="AL24" s="122" t="s">
        <v>352</v>
      </c>
      <c r="AM24" s="122"/>
      <c r="AN24" s="122"/>
      <c r="AO24" s="122"/>
      <c r="AP24" s="122"/>
      <c r="AQ24" s="122"/>
      <c r="AR24" s="122"/>
      <c r="AS24" s="121">
        <v>11</v>
      </c>
      <c r="AT24" s="121">
        <v>3</v>
      </c>
      <c r="AU24" s="121">
        <v>0</v>
      </c>
      <c r="AV24" s="121">
        <v>2</v>
      </c>
      <c r="AW24" s="121">
        <v>1</v>
      </c>
      <c r="AX24" s="121">
        <v>1</v>
      </c>
      <c r="AY24" s="121">
        <v>11</v>
      </c>
      <c r="AZ24" s="121">
        <v>10000</v>
      </c>
      <c r="BA24" s="121">
        <v>8</v>
      </c>
      <c r="BB24" s="121">
        <v>2</v>
      </c>
      <c r="BC24" s="121">
        <v>2</v>
      </c>
      <c r="BD24" s="121">
        <v>20</v>
      </c>
      <c r="BE24" s="121">
        <v>64</v>
      </c>
      <c r="BF24" s="121">
        <v>49</v>
      </c>
      <c r="BG24" s="121">
        <v>1</v>
      </c>
      <c r="BH24" s="121">
        <v>2</v>
      </c>
      <c r="BI24" s="121">
        <v>1</v>
      </c>
      <c r="BJ24" s="121">
        <v>21</v>
      </c>
      <c r="BK24" s="121">
        <v>21</v>
      </c>
      <c r="BL24" s="121">
        <v>20</v>
      </c>
      <c r="BM24" s="121">
        <v>1585</v>
      </c>
      <c r="BN24" s="124">
        <v>29.08732358</v>
      </c>
      <c r="BO24" s="124">
        <v>-95.413681150000002</v>
      </c>
      <c r="BP24" s="122" t="s">
        <v>347</v>
      </c>
      <c r="BQ24" s="121">
        <v>288</v>
      </c>
      <c r="BR24" s="122" t="s">
        <v>348</v>
      </c>
      <c r="BS24" s="122">
        <v>13.887</v>
      </c>
      <c r="BT24" s="122" t="s">
        <v>349</v>
      </c>
      <c r="BU24" s="121">
        <v>18196</v>
      </c>
      <c r="BV24" s="121">
        <v>111</v>
      </c>
      <c r="BW24" s="121">
        <v>7</v>
      </c>
      <c r="BX24" s="122">
        <v>5.4669999999999996</v>
      </c>
      <c r="BY24" s="121">
        <v>518</v>
      </c>
      <c r="BZ24" s="122">
        <v>-0.13900000000000001</v>
      </c>
      <c r="CA24" s="122"/>
      <c r="CB24" s="122"/>
      <c r="CC24" s="122"/>
      <c r="CD24" s="122" t="s">
        <v>360</v>
      </c>
      <c r="CE24" s="122"/>
      <c r="CF24" s="122"/>
      <c r="CG24" s="122"/>
      <c r="CH24" s="122"/>
      <c r="CI24" s="122" t="s">
        <v>142</v>
      </c>
      <c r="CJ24" s="122" t="s">
        <v>142</v>
      </c>
      <c r="CK24" s="122" t="s">
        <v>142</v>
      </c>
      <c r="CL24" s="121">
        <v>3</v>
      </c>
      <c r="CM24" s="121">
        <v>0</v>
      </c>
      <c r="CN24" s="122" t="s">
        <v>142</v>
      </c>
      <c r="CO24" s="122" t="s">
        <v>335</v>
      </c>
      <c r="CP24" s="121">
        <v>3</v>
      </c>
      <c r="CQ24" s="121">
        <v>0</v>
      </c>
      <c r="CR24" s="121">
        <v>0</v>
      </c>
      <c r="CS24" s="121">
        <v>9</v>
      </c>
      <c r="CT24" s="121">
        <v>20</v>
      </c>
      <c r="CU24" s="121">
        <v>9</v>
      </c>
      <c r="CV24" s="121">
        <v>4</v>
      </c>
      <c r="CW24" s="121">
        <v>300</v>
      </c>
      <c r="CX24" s="121">
        <v>70</v>
      </c>
      <c r="CY24" s="121">
        <v>46</v>
      </c>
      <c r="CZ24" s="121">
        <v>6</v>
      </c>
      <c r="DA24" s="121">
        <v>1</v>
      </c>
      <c r="DB24" s="121">
        <v>0</v>
      </c>
      <c r="DC24" s="121">
        <v>1</v>
      </c>
      <c r="DD24" s="121">
        <v>0</v>
      </c>
      <c r="DE24" s="121">
        <v>0</v>
      </c>
      <c r="DF24" s="121">
        <v>2</v>
      </c>
      <c r="DG24" s="121">
        <v>18</v>
      </c>
      <c r="DH24" s="121">
        <v>5</v>
      </c>
      <c r="DI24" s="121">
        <v>1</v>
      </c>
      <c r="DJ24" s="121">
        <v>20</v>
      </c>
      <c r="DK24" s="121">
        <v>3</v>
      </c>
      <c r="DL24" s="121">
        <v>14</v>
      </c>
      <c r="DM24" s="121">
        <v>12400</v>
      </c>
      <c r="DN24" s="121">
        <v>2011</v>
      </c>
      <c r="DO24" s="121">
        <v>12400</v>
      </c>
      <c r="DP24" s="122">
        <v>6.2</v>
      </c>
      <c r="DQ24" s="122">
        <v>7</v>
      </c>
      <c r="DR24" s="122">
        <v>13.3</v>
      </c>
      <c r="DS24" s="122"/>
      <c r="DT24" s="122"/>
      <c r="DU24" s="122"/>
      <c r="DV24" s="122"/>
      <c r="DW24" s="122"/>
      <c r="DX24" s="122"/>
      <c r="DY24" s="122"/>
      <c r="DZ24" s="122"/>
      <c r="EA24" s="122"/>
      <c r="EB24" s="122"/>
      <c r="EC24" s="122"/>
      <c r="ED24" s="122"/>
      <c r="EE24" s="122"/>
      <c r="EF24" s="122"/>
      <c r="EG24" s="122"/>
      <c r="EH24" s="122"/>
      <c r="EI24" s="122"/>
      <c r="EJ24" s="122"/>
      <c r="EK24" s="122"/>
      <c r="EL24" s="122"/>
      <c r="EM24" s="122"/>
      <c r="EN24" s="122"/>
      <c r="EO24" s="122"/>
      <c r="EP24" s="122"/>
      <c r="EQ24" s="122"/>
      <c r="ER24" s="122"/>
      <c r="ES24" s="121">
        <v>0</v>
      </c>
      <c r="ET24" s="121">
        <v>0</v>
      </c>
      <c r="EU24" s="121">
        <v>1</v>
      </c>
      <c r="EV24" s="121">
        <v>3</v>
      </c>
      <c r="EW24" s="121">
        <v>0</v>
      </c>
      <c r="EX24" s="121">
        <v>1</v>
      </c>
      <c r="EY24" s="121">
        <v>0</v>
      </c>
      <c r="EZ24" s="121">
        <v>2013</v>
      </c>
      <c r="FA24" s="121">
        <v>2013</v>
      </c>
      <c r="FB24" s="121">
        <v>20</v>
      </c>
      <c r="FC24" s="121">
        <v>288</v>
      </c>
      <c r="FD24" s="122" t="s">
        <v>352</v>
      </c>
    </row>
    <row r="25" spans="1:160" x14ac:dyDescent="0.25">
      <c r="A25" s="121">
        <v>12067490</v>
      </c>
      <c r="B25" s="122" t="s">
        <v>141</v>
      </c>
      <c r="C25" s="122" t="s">
        <v>141</v>
      </c>
      <c r="D25" s="122" t="s">
        <v>141</v>
      </c>
      <c r="E25" s="122" t="s">
        <v>141</v>
      </c>
      <c r="F25" s="122" t="s">
        <v>141</v>
      </c>
      <c r="G25" s="122" t="s">
        <v>141</v>
      </c>
      <c r="H25" s="122" t="s">
        <v>141</v>
      </c>
      <c r="I25" s="118">
        <v>40672</v>
      </c>
      <c r="J25" s="123">
        <v>0.3298611111111111</v>
      </c>
      <c r="K25" s="122"/>
      <c r="L25" s="121">
        <v>20</v>
      </c>
      <c r="M25" s="121">
        <v>1585</v>
      </c>
      <c r="N25" s="122" t="s">
        <v>142</v>
      </c>
      <c r="O25" s="122" t="s">
        <v>142</v>
      </c>
      <c r="P25" s="120">
        <v>29.087530000000001</v>
      </c>
      <c r="Q25" s="120">
        <v>-95.413730000000001</v>
      </c>
      <c r="R25" s="121">
        <v>9</v>
      </c>
      <c r="S25" s="121">
        <v>288</v>
      </c>
      <c r="T25" s="121"/>
      <c r="U25" s="121">
        <v>7</v>
      </c>
      <c r="V25" s="122"/>
      <c r="W25" s="122"/>
      <c r="X25" s="122" t="s">
        <v>352</v>
      </c>
      <c r="Y25" s="122"/>
      <c r="Z25" s="122" t="s">
        <v>141</v>
      </c>
      <c r="AA25" s="122" t="s">
        <v>141</v>
      </c>
      <c r="AB25" s="121">
        <v>60</v>
      </c>
      <c r="AC25" s="122" t="s">
        <v>141</v>
      </c>
      <c r="AD25" s="122" t="s">
        <v>141</v>
      </c>
      <c r="AE25" s="122" t="s">
        <v>142</v>
      </c>
      <c r="AF25" s="121">
        <v>15</v>
      </c>
      <c r="AG25" s="121">
        <v>687</v>
      </c>
      <c r="AH25" s="121"/>
      <c r="AI25" s="121">
        <v>7</v>
      </c>
      <c r="AJ25" s="122"/>
      <c r="AK25" s="122"/>
      <c r="AL25" s="122" t="s">
        <v>352</v>
      </c>
      <c r="AM25" s="122"/>
      <c r="AN25" s="122"/>
      <c r="AO25" s="122"/>
      <c r="AP25" s="122"/>
      <c r="AQ25" s="122"/>
      <c r="AR25" s="122"/>
      <c r="AS25" s="121">
        <v>12</v>
      </c>
      <c r="AT25" s="121">
        <v>1</v>
      </c>
      <c r="AU25" s="121">
        <v>2</v>
      </c>
      <c r="AV25" s="121">
        <v>2</v>
      </c>
      <c r="AW25" s="121">
        <v>1</v>
      </c>
      <c r="AX25" s="121">
        <v>1</v>
      </c>
      <c r="AY25" s="121">
        <v>9</v>
      </c>
      <c r="AZ25" s="121">
        <v>10000</v>
      </c>
      <c r="BA25" s="121">
        <v>8</v>
      </c>
      <c r="BB25" s="121">
        <v>2</v>
      </c>
      <c r="BC25" s="121">
        <v>1</v>
      </c>
      <c r="BD25" s="121">
        <v>22</v>
      </c>
      <c r="BE25" s="121">
        <v>64</v>
      </c>
      <c r="BF25" s="121">
        <v>42</v>
      </c>
      <c r="BG25" s="121">
        <v>1</v>
      </c>
      <c r="BH25" s="121">
        <v>2</v>
      </c>
      <c r="BI25" s="121">
        <v>1</v>
      </c>
      <c r="BJ25" s="121">
        <v>21</v>
      </c>
      <c r="BK25" s="121">
        <v>21</v>
      </c>
      <c r="BL25" s="121">
        <v>20</v>
      </c>
      <c r="BM25" s="121">
        <v>1585</v>
      </c>
      <c r="BN25" s="124">
        <v>29.08752483</v>
      </c>
      <c r="BO25" s="124">
        <v>-95.413739570000004</v>
      </c>
      <c r="BP25" s="122" t="s">
        <v>347</v>
      </c>
      <c r="BQ25" s="121">
        <v>288</v>
      </c>
      <c r="BR25" s="122" t="s">
        <v>348</v>
      </c>
      <c r="BS25" s="122">
        <v>13.872999999999999</v>
      </c>
      <c r="BT25" s="122" t="s">
        <v>349</v>
      </c>
      <c r="BU25" s="121">
        <v>18195</v>
      </c>
      <c r="BV25" s="121">
        <v>111</v>
      </c>
      <c r="BW25" s="121">
        <v>7</v>
      </c>
      <c r="BX25" s="122">
        <v>5.4530000000000003</v>
      </c>
      <c r="BY25" s="121">
        <v>518</v>
      </c>
      <c r="BZ25" s="122">
        <v>-0.153</v>
      </c>
      <c r="CA25" s="122"/>
      <c r="CB25" s="122"/>
      <c r="CC25" s="122"/>
      <c r="CD25" s="122" t="s">
        <v>360</v>
      </c>
      <c r="CE25" s="122"/>
      <c r="CF25" s="122"/>
      <c r="CG25" s="122"/>
      <c r="CH25" s="122"/>
      <c r="CI25" s="122" t="s">
        <v>142</v>
      </c>
      <c r="CJ25" s="122" t="s">
        <v>142</v>
      </c>
      <c r="CK25" s="122" t="s">
        <v>142</v>
      </c>
      <c r="CL25" s="121">
        <v>5</v>
      </c>
      <c r="CM25" s="121">
        <v>0</v>
      </c>
      <c r="CN25" s="122" t="s">
        <v>142</v>
      </c>
      <c r="CO25" s="122" t="s">
        <v>140</v>
      </c>
      <c r="CP25" s="121">
        <v>3</v>
      </c>
      <c r="CQ25" s="121">
        <v>0</v>
      </c>
      <c r="CR25" s="121">
        <v>0</v>
      </c>
      <c r="CS25" s="121">
        <v>9</v>
      </c>
      <c r="CT25" s="121">
        <v>20</v>
      </c>
      <c r="CU25" s="121">
        <v>9</v>
      </c>
      <c r="CV25" s="121">
        <v>4</v>
      </c>
      <c r="CW25" s="121">
        <v>300</v>
      </c>
      <c r="CX25" s="121">
        <v>70</v>
      </c>
      <c r="CY25" s="121">
        <v>46</v>
      </c>
      <c r="CZ25" s="121">
        <v>6</v>
      </c>
      <c r="DA25" s="121">
        <v>1</v>
      </c>
      <c r="DB25" s="121">
        <v>0</v>
      </c>
      <c r="DC25" s="121">
        <v>1</v>
      </c>
      <c r="DD25" s="121">
        <v>0</v>
      </c>
      <c r="DE25" s="121">
        <v>0</v>
      </c>
      <c r="DF25" s="121">
        <v>2</v>
      </c>
      <c r="DG25" s="121">
        <v>18</v>
      </c>
      <c r="DH25" s="121">
        <v>5</v>
      </c>
      <c r="DI25" s="121">
        <v>1</v>
      </c>
      <c r="DJ25" s="121">
        <v>20</v>
      </c>
      <c r="DK25" s="121">
        <v>3</v>
      </c>
      <c r="DL25" s="121">
        <v>14</v>
      </c>
      <c r="DM25" s="121">
        <v>12400</v>
      </c>
      <c r="DN25" s="121">
        <v>2011</v>
      </c>
      <c r="DO25" s="121">
        <v>12400</v>
      </c>
      <c r="DP25" s="122">
        <v>6.2</v>
      </c>
      <c r="DQ25" s="122">
        <v>7</v>
      </c>
      <c r="DR25" s="122">
        <v>13.3</v>
      </c>
      <c r="DS25" s="122"/>
      <c r="DT25" s="122"/>
      <c r="DU25" s="122"/>
      <c r="DV25" s="122"/>
      <c r="DW25" s="122"/>
      <c r="DX25" s="122"/>
      <c r="DY25" s="122"/>
      <c r="DZ25" s="122"/>
      <c r="EA25" s="122"/>
      <c r="EB25" s="122"/>
      <c r="EC25" s="122"/>
      <c r="ED25" s="122"/>
      <c r="EE25" s="122"/>
      <c r="EF25" s="122"/>
      <c r="EG25" s="122"/>
      <c r="EH25" s="122"/>
      <c r="EI25" s="122"/>
      <c r="EJ25" s="122"/>
      <c r="EK25" s="122"/>
      <c r="EL25" s="122"/>
      <c r="EM25" s="122"/>
      <c r="EN25" s="122"/>
      <c r="EO25" s="122"/>
      <c r="EP25" s="122"/>
      <c r="EQ25" s="122"/>
      <c r="ER25" s="122"/>
      <c r="ES25" s="121">
        <v>0</v>
      </c>
      <c r="ET25" s="121">
        <v>0</v>
      </c>
      <c r="EU25" s="121">
        <v>0</v>
      </c>
      <c r="EV25" s="121">
        <v>1</v>
      </c>
      <c r="EW25" s="121">
        <v>2</v>
      </c>
      <c r="EX25" s="121">
        <v>0</v>
      </c>
      <c r="EY25" s="121">
        <v>0</v>
      </c>
      <c r="EZ25" s="121">
        <v>2011</v>
      </c>
      <c r="FA25" s="121">
        <v>2011</v>
      </c>
      <c r="FB25" s="121">
        <v>20</v>
      </c>
      <c r="FC25" s="121">
        <v>288</v>
      </c>
      <c r="FD25" s="122" t="s">
        <v>352</v>
      </c>
    </row>
    <row r="26" spans="1:160" x14ac:dyDescent="0.25">
      <c r="A26" s="121">
        <v>13228310</v>
      </c>
      <c r="B26" s="122" t="s">
        <v>141</v>
      </c>
      <c r="C26" s="122" t="s">
        <v>141</v>
      </c>
      <c r="D26" s="122" t="s">
        <v>141</v>
      </c>
      <c r="E26" s="122" t="s">
        <v>141</v>
      </c>
      <c r="F26" s="122" t="s">
        <v>141</v>
      </c>
      <c r="G26" s="122" t="s">
        <v>141</v>
      </c>
      <c r="H26" s="122" t="s">
        <v>141</v>
      </c>
      <c r="I26" s="118">
        <v>41376</v>
      </c>
      <c r="J26" s="123">
        <v>0.59027777777777779</v>
      </c>
      <c r="K26" s="122"/>
      <c r="L26" s="121">
        <v>20</v>
      </c>
      <c r="M26" s="121">
        <v>1585</v>
      </c>
      <c r="N26" s="122" t="s">
        <v>142</v>
      </c>
      <c r="O26" s="122" t="s">
        <v>142</v>
      </c>
      <c r="P26" s="120">
        <v>29.087620000000001</v>
      </c>
      <c r="Q26" s="120">
        <v>-95.413579999999996</v>
      </c>
      <c r="R26" s="121">
        <v>9</v>
      </c>
      <c r="S26" s="121">
        <v>288</v>
      </c>
      <c r="T26" s="121"/>
      <c r="U26" s="121">
        <v>1</v>
      </c>
      <c r="V26" s="122"/>
      <c r="W26" s="122"/>
      <c r="X26" s="122" t="s">
        <v>352</v>
      </c>
      <c r="Y26" s="122"/>
      <c r="Z26" s="122" t="s">
        <v>141</v>
      </c>
      <c r="AA26" s="122" t="s">
        <v>141</v>
      </c>
      <c r="AB26" s="121">
        <v>50</v>
      </c>
      <c r="AC26" s="122" t="s">
        <v>142</v>
      </c>
      <c r="AD26" s="122" t="s">
        <v>142</v>
      </c>
      <c r="AE26" s="122" t="s">
        <v>141</v>
      </c>
      <c r="AF26" s="121">
        <v>15</v>
      </c>
      <c r="AG26" s="121">
        <v>687</v>
      </c>
      <c r="AH26" s="121"/>
      <c r="AI26" s="121"/>
      <c r="AJ26" s="122"/>
      <c r="AK26" s="122"/>
      <c r="AL26" s="122" t="s">
        <v>352</v>
      </c>
      <c r="AM26" s="122"/>
      <c r="AN26" s="122"/>
      <c r="AO26" s="122"/>
      <c r="AP26" s="122"/>
      <c r="AQ26" s="122"/>
      <c r="AR26" s="122"/>
      <c r="AS26" s="121">
        <v>11</v>
      </c>
      <c r="AT26" s="121">
        <v>1</v>
      </c>
      <c r="AU26" s="121">
        <v>0</v>
      </c>
      <c r="AV26" s="121">
        <v>2</v>
      </c>
      <c r="AW26" s="121">
        <v>1</v>
      </c>
      <c r="AX26" s="121">
        <v>1</v>
      </c>
      <c r="AY26" s="121">
        <v>12</v>
      </c>
      <c r="AZ26" s="121">
        <v>10000</v>
      </c>
      <c r="BA26" s="121">
        <v>8</v>
      </c>
      <c r="BB26" s="121">
        <v>2</v>
      </c>
      <c r="BC26" s="121">
        <v>2</v>
      </c>
      <c r="BD26" s="121">
        <v>22</v>
      </c>
      <c r="BE26" s="121">
        <v>64</v>
      </c>
      <c r="BF26" s="121">
        <v>49</v>
      </c>
      <c r="BG26" s="121">
        <v>1</v>
      </c>
      <c r="BH26" s="121">
        <v>2</v>
      </c>
      <c r="BI26" s="121">
        <v>1</v>
      </c>
      <c r="BJ26" s="121">
        <v>21</v>
      </c>
      <c r="BK26" s="121">
        <v>21</v>
      </c>
      <c r="BL26" s="121">
        <v>20</v>
      </c>
      <c r="BM26" s="121">
        <v>1585</v>
      </c>
      <c r="BN26" s="124">
        <v>29.086857439999999</v>
      </c>
      <c r="BO26" s="124">
        <v>-95.413549090000004</v>
      </c>
      <c r="BP26" s="122" t="s">
        <v>347</v>
      </c>
      <c r="BQ26" s="121">
        <v>288</v>
      </c>
      <c r="BR26" s="122" t="s">
        <v>348</v>
      </c>
      <c r="BS26" s="122">
        <v>13.92</v>
      </c>
      <c r="BT26" s="122" t="s">
        <v>349</v>
      </c>
      <c r="BU26" s="121"/>
      <c r="BV26" s="121">
        <v>111</v>
      </c>
      <c r="BW26" s="121">
        <v>7</v>
      </c>
      <c r="BX26" s="122">
        <v>5.5010000000000003</v>
      </c>
      <c r="BY26" s="121">
        <v>518</v>
      </c>
      <c r="BZ26" s="122">
        <v>-0.106</v>
      </c>
      <c r="CA26" s="122"/>
      <c r="CB26" s="122"/>
      <c r="CC26" s="122"/>
      <c r="CD26" s="122" t="s">
        <v>360</v>
      </c>
      <c r="CE26" s="122"/>
      <c r="CF26" s="122"/>
      <c r="CG26" s="122"/>
      <c r="CH26" s="122"/>
      <c r="CI26" s="122" t="s">
        <v>142</v>
      </c>
      <c r="CJ26" s="122" t="s">
        <v>142</v>
      </c>
      <c r="CK26" s="122" t="s">
        <v>142</v>
      </c>
      <c r="CL26" s="121">
        <v>5</v>
      </c>
      <c r="CM26" s="121">
        <v>0</v>
      </c>
      <c r="CN26" s="122" t="s">
        <v>142</v>
      </c>
      <c r="CO26" s="122" t="s">
        <v>337</v>
      </c>
      <c r="CP26" s="121">
        <v>3</v>
      </c>
      <c r="CQ26" s="121">
        <v>0</v>
      </c>
      <c r="CR26" s="121">
        <v>0</v>
      </c>
      <c r="CS26" s="121">
        <v>9</v>
      </c>
      <c r="CT26" s="121">
        <v>20</v>
      </c>
      <c r="CU26" s="121">
        <v>9</v>
      </c>
      <c r="CV26" s="121">
        <v>4</v>
      </c>
      <c r="CW26" s="121">
        <v>300</v>
      </c>
      <c r="CX26" s="121">
        <v>70</v>
      </c>
      <c r="CY26" s="121">
        <v>46</v>
      </c>
      <c r="CZ26" s="121">
        <v>6</v>
      </c>
      <c r="DA26" s="121">
        <v>1</v>
      </c>
      <c r="DB26" s="121">
        <v>0</v>
      </c>
      <c r="DC26" s="121">
        <v>1</v>
      </c>
      <c r="DD26" s="121">
        <v>0</v>
      </c>
      <c r="DE26" s="121">
        <v>0</v>
      </c>
      <c r="DF26" s="121">
        <v>2</v>
      </c>
      <c r="DG26" s="121">
        <v>18</v>
      </c>
      <c r="DH26" s="121">
        <v>5</v>
      </c>
      <c r="DI26" s="121">
        <v>1</v>
      </c>
      <c r="DJ26" s="121">
        <v>20</v>
      </c>
      <c r="DK26" s="121">
        <v>3</v>
      </c>
      <c r="DL26" s="121">
        <v>14</v>
      </c>
      <c r="DM26" s="121">
        <v>12800</v>
      </c>
      <c r="DN26" s="121">
        <v>2011</v>
      </c>
      <c r="DO26" s="121">
        <v>12800</v>
      </c>
      <c r="DP26" s="122">
        <v>6.2</v>
      </c>
      <c r="DQ26" s="122">
        <v>7</v>
      </c>
      <c r="DR26" s="122">
        <v>13.4</v>
      </c>
      <c r="DS26" s="122"/>
      <c r="DT26" s="122"/>
      <c r="DU26" s="122"/>
      <c r="DV26" s="122"/>
      <c r="DW26" s="122"/>
      <c r="DX26" s="122"/>
      <c r="DY26" s="122"/>
      <c r="DZ26" s="122"/>
      <c r="EA26" s="122"/>
      <c r="EB26" s="122"/>
      <c r="EC26" s="122"/>
      <c r="ED26" s="122"/>
      <c r="EE26" s="122"/>
      <c r="EF26" s="122"/>
      <c r="EG26" s="122"/>
      <c r="EH26" s="122"/>
      <c r="EI26" s="122"/>
      <c r="EJ26" s="122"/>
      <c r="EK26" s="122"/>
      <c r="EL26" s="122"/>
      <c r="EM26" s="122"/>
      <c r="EN26" s="122"/>
      <c r="EO26" s="122"/>
      <c r="EP26" s="122"/>
      <c r="EQ26" s="122"/>
      <c r="ER26" s="122"/>
      <c r="ES26" s="121">
        <v>0</v>
      </c>
      <c r="ET26" s="121">
        <v>0</v>
      </c>
      <c r="EU26" s="121">
        <v>0</v>
      </c>
      <c r="EV26" s="121">
        <v>2</v>
      </c>
      <c r="EW26" s="121">
        <v>0</v>
      </c>
      <c r="EX26" s="121">
        <v>0</v>
      </c>
      <c r="EY26" s="121">
        <v>0</v>
      </c>
      <c r="EZ26" s="121">
        <v>2013</v>
      </c>
      <c r="FA26" s="121">
        <v>2013</v>
      </c>
      <c r="FB26" s="121">
        <v>20</v>
      </c>
      <c r="FC26" s="121">
        <v>288</v>
      </c>
      <c r="FD26" s="122" t="s">
        <v>352</v>
      </c>
    </row>
    <row r="27" spans="1:160" x14ac:dyDescent="0.25">
      <c r="A27" s="121">
        <v>11900503</v>
      </c>
      <c r="B27" s="122" t="s">
        <v>141</v>
      </c>
      <c r="C27" s="122" t="s">
        <v>141</v>
      </c>
      <c r="D27" s="122" t="s">
        <v>141</v>
      </c>
      <c r="E27" s="122" t="s">
        <v>141</v>
      </c>
      <c r="F27" s="122" t="s">
        <v>141</v>
      </c>
      <c r="G27" s="122" t="s">
        <v>141</v>
      </c>
      <c r="H27" s="122" t="s">
        <v>141</v>
      </c>
      <c r="I27" s="118">
        <v>40569</v>
      </c>
      <c r="J27" s="123">
        <v>0.61458333333333337</v>
      </c>
      <c r="K27" s="122"/>
      <c r="L27" s="121">
        <v>20</v>
      </c>
      <c r="M27" s="121">
        <v>1585</v>
      </c>
      <c r="N27" s="122" t="s">
        <v>142</v>
      </c>
      <c r="O27" s="122" t="s">
        <v>142</v>
      </c>
      <c r="P27" s="120">
        <v>29.091180000000001</v>
      </c>
      <c r="Q27" s="120">
        <v>-95.453130000000002</v>
      </c>
      <c r="R27" s="121">
        <v>3</v>
      </c>
      <c r="S27" s="121">
        <v>288</v>
      </c>
      <c r="T27" s="121"/>
      <c r="U27" s="121">
        <v>1</v>
      </c>
      <c r="V27" s="122"/>
      <c r="W27" s="122"/>
      <c r="X27" s="122" t="s">
        <v>352</v>
      </c>
      <c r="Y27" s="122"/>
      <c r="Z27" s="122" t="s">
        <v>141</v>
      </c>
      <c r="AA27" s="122" t="s">
        <v>141</v>
      </c>
      <c r="AB27" s="121">
        <v>65</v>
      </c>
      <c r="AC27" s="122" t="s">
        <v>141</v>
      </c>
      <c r="AD27" s="122" t="s">
        <v>141</v>
      </c>
      <c r="AE27" s="122" t="s">
        <v>141</v>
      </c>
      <c r="AF27" s="121">
        <v>15</v>
      </c>
      <c r="AG27" s="121">
        <v>220</v>
      </c>
      <c r="AH27" s="121"/>
      <c r="AI27" s="121"/>
      <c r="AJ27" s="122"/>
      <c r="AK27" s="122"/>
      <c r="AL27" s="122" t="s">
        <v>352</v>
      </c>
      <c r="AM27" s="122"/>
      <c r="AN27" s="122"/>
      <c r="AO27" s="122"/>
      <c r="AP27" s="122"/>
      <c r="AQ27" s="122"/>
      <c r="AR27" s="122"/>
      <c r="AS27" s="121">
        <v>11</v>
      </c>
      <c r="AT27" s="121">
        <v>1</v>
      </c>
      <c r="AU27" s="121">
        <v>0</v>
      </c>
      <c r="AV27" s="121">
        <v>2</v>
      </c>
      <c r="AW27" s="121">
        <v>2</v>
      </c>
      <c r="AX27" s="121">
        <v>1</v>
      </c>
      <c r="AY27" s="121">
        <v>11</v>
      </c>
      <c r="AZ27" s="121">
        <v>10000</v>
      </c>
      <c r="BA27" s="121">
        <v>8</v>
      </c>
      <c r="BB27" s="121">
        <v>8</v>
      </c>
      <c r="BC27" s="121">
        <v>4</v>
      </c>
      <c r="BD27" s="121">
        <v>1</v>
      </c>
      <c r="BE27" s="121">
        <v>98</v>
      </c>
      <c r="BF27" s="121">
        <v>54</v>
      </c>
      <c r="BG27" s="121">
        <v>1</v>
      </c>
      <c r="BH27" s="121">
        <v>2</v>
      </c>
      <c r="BI27" s="121">
        <v>1</v>
      </c>
      <c r="BJ27" s="121">
        <v>21</v>
      </c>
      <c r="BK27" s="121">
        <v>21</v>
      </c>
      <c r="BL27" s="121">
        <v>20</v>
      </c>
      <c r="BM27" s="121">
        <v>248</v>
      </c>
      <c r="BN27" s="124">
        <v>29.106961439999999</v>
      </c>
      <c r="BO27" s="124">
        <v>-95.45263516</v>
      </c>
      <c r="BP27" s="122" t="s">
        <v>361</v>
      </c>
      <c r="BQ27" s="121">
        <v>288</v>
      </c>
      <c r="BR27" s="122"/>
      <c r="BS27" s="122">
        <v>45.406999999999996</v>
      </c>
      <c r="BT27" s="122" t="s">
        <v>362</v>
      </c>
      <c r="BU27" s="122"/>
      <c r="BV27" s="121">
        <v>598</v>
      </c>
      <c r="BW27" s="121">
        <v>4</v>
      </c>
      <c r="BX27" s="122">
        <v>35.494999999999997</v>
      </c>
      <c r="BY27" s="121">
        <v>518</v>
      </c>
      <c r="BZ27" s="122">
        <v>0.57399999999999995</v>
      </c>
      <c r="CA27" s="122"/>
      <c r="CB27" s="122"/>
      <c r="CC27" s="122"/>
      <c r="CD27" s="122" t="s">
        <v>329</v>
      </c>
      <c r="CE27" s="122"/>
      <c r="CF27" s="122"/>
      <c r="CG27" s="122"/>
      <c r="CH27" s="122"/>
      <c r="CI27" s="122" t="s">
        <v>142</v>
      </c>
      <c r="CJ27" s="122" t="s">
        <v>142</v>
      </c>
      <c r="CK27" s="122" t="s">
        <v>141</v>
      </c>
      <c r="CL27" s="121">
        <v>5</v>
      </c>
      <c r="CM27" s="121">
        <v>6</v>
      </c>
      <c r="CN27" s="122" t="s">
        <v>142</v>
      </c>
      <c r="CO27" s="122" t="s">
        <v>330</v>
      </c>
      <c r="CP27" s="121">
        <v>4</v>
      </c>
      <c r="CQ27" s="121">
        <v>0</v>
      </c>
      <c r="CR27" s="121">
        <v>4</v>
      </c>
      <c r="CS27" s="121">
        <v>10</v>
      </c>
      <c r="CT27" s="121">
        <v>130</v>
      </c>
      <c r="CU27" s="121">
        <v>9</v>
      </c>
      <c r="CV27" s="121">
        <v>4</v>
      </c>
      <c r="CW27" s="121">
        <v>420</v>
      </c>
      <c r="CX27" s="121">
        <v>76</v>
      </c>
      <c r="CY27" s="121">
        <v>48</v>
      </c>
      <c r="CZ27" s="121">
        <v>5</v>
      </c>
      <c r="DA27" s="121">
        <v>0</v>
      </c>
      <c r="DB27" s="121">
        <v>0</v>
      </c>
      <c r="DC27" s="121">
        <v>2</v>
      </c>
      <c r="DD27" s="121">
        <v>6</v>
      </c>
      <c r="DE27" s="121">
        <v>5</v>
      </c>
      <c r="DF27" s="121">
        <v>2</v>
      </c>
      <c r="DG27" s="121">
        <v>20</v>
      </c>
      <c r="DH27" s="121">
        <v>5</v>
      </c>
      <c r="DI27" s="121">
        <v>3</v>
      </c>
      <c r="DJ27" s="121">
        <v>124</v>
      </c>
      <c r="DK27" s="121">
        <v>3</v>
      </c>
      <c r="DL27" s="121">
        <v>12</v>
      </c>
      <c r="DM27" s="121">
        <v>20960</v>
      </c>
      <c r="DN27" s="121">
        <v>2011</v>
      </c>
      <c r="DO27" s="121">
        <v>20960</v>
      </c>
      <c r="DP27" s="122">
        <v>7.2</v>
      </c>
      <c r="DQ27" s="122">
        <v>8</v>
      </c>
      <c r="DR27" s="122">
        <v>15.1</v>
      </c>
      <c r="DS27" s="122"/>
      <c r="DT27" s="122"/>
      <c r="DU27" s="122"/>
      <c r="DV27" s="122"/>
      <c r="DW27" s="122"/>
      <c r="DX27" s="122"/>
      <c r="DY27" s="122"/>
      <c r="DZ27" s="122"/>
      <c r="EA27" s="122"/>
      <c r="EB27" s="122"/>
      <c r="EC27" s="122"/>
      <c r="ED27" s="122"/>
      <c r="EE27" s="122"/>
      <c r="EF27" s="122"/>
      <c r="EG27" s="122"/>
      <c r="EH27" s="122"/>
      <c r="EI27" s="122"/>
      <c r="EJ27" s="122"/>
      <c r="EK27" s="122"/>
      <c r="EL27" s="122"/>
      <c r="EM27" s="122"/>
      <c r="EN27" s="122"/>
      <c r="EO27" s="122"/>
      <c r="EP27" s="122"/>
      <c r="EQ27" s="122"/>
      <c r="ER27" s="122"/>
      <c r="ES27" s="121">
        <v>0</v>
      </c>
      <c r="ET27" s="121">
        <v>0</v>
      </c>
      <c r="EU27" s="121">
        <v>0</v>
      </c>
      <c r="EV27" s="121">
        <v>1</v>
      </c>
      <c r="EW27" s="121">
        <v>0</v>
      </c>
      <c r="EX27" s="121">
        <v>0</v>
      </c>
      <c r="EY27" s="121">
        <v>0</v>
      </c>
      <c r="EZ27" s="121">
        <v>2011</v>
      </c>
      <c r="FA27" s="121">
        <v>2011</v>
      </c>
      <c r="FB27" s="121">
        <v>20</v>
      </c>
      <c r="FC27" s="121">
        <v>288</v>
      </c>
      <c r="FD27" s="122" t="s">
        <v>352</v>
      </c>
    </row>
    <row r="28" spans="1:160" x14ac:dyDescent="0.25">
      <c r="A28" s="121">
        <v>11924249</v>
      </c>
      <c r="B28" s="122" t="s">
        <v>141</v>
      </c>
      <c r="C28" s="122" t="s">
        <v>141</v>
      </c>
      <c r="D28" s="122" t="s">
        <v>141</v>
      </c>
      <c r="E28" s="122" t="s">
        <v>141</v>
      </c>
      <c r="F28" s="122" t="s">
        <v>141</v>
      </c>
      <c r="G28" s="122" t="s">
        <v>142</v>
      </c>
      <c r="H28" s="122" t="s">
        <v>141</v>
      </c>
      <c r="I28" s="118">
        <v>40289</v>
      </c>
      <c r="J28" s="123">
        <v>0.8520833333333333</v>
      </c>
      <c r="K28" s="122"/>
      <c r="L28" s="121">
        <v>20</v>
      </c>
      <c r="M28" s="121">
        <v>1585</v>
      </c>
      <c r="N28" s="122" t="s">
        <v>142</v>
      </c>
      <c r="O28" s="122" t="s">
        <v>142</v>
      </c>
      <c r="P28" s="120">
        <v>29.097799999999999</v>
      </c>
      <c r="Q28" s="120">
        <v>-95.452849999999998</v>
      </c>
      <c r="R28" s="121">
        <v>3</v>
      </c>
      <c r="S28" s="121">
        <v>288</v>
      </c>
      <c r="T28" s="121"/>
      <c r="U28" s="121">
        <v>1</v>
      </c>
      <c r="V28" s="122"/>
      <c r="W28" s="122"/>
      <c r="X28" s="122" t="s">
        <v>352</v>
      </c>
      <c r="Y28" s="122"/>
      <c r="Z28" s="122" t="s">
        <v>141</v>
      </c>
      <c r="AA28" s="122" t="s">
        <v>141</v>
      </c>
      <c r="AB28" s="121">
        <v>65</v>
      </c>
      <c r="AC28" s="122" t="s">
        <v>141</v>
      </c>
      <c r="AD28" s="122" t="s">
        <v>141</v>
      </c>
      <c r="AE28" s="122" t="s">
        <v>141</v>
      </c>
      <c r="AF28" s="121">
        <v>15</v>
      </c>
      <c r="AG28" s="121">
        <v>220</v>
      </c>
      <c r="AH28" s="121"/>
      <c r="AI28" s="121"/>
      <c r="AJ28" s="122"/>
      <c r="AK28" s="122"/>
      <c r="AL28" s="122" t="s">
        <v>352</v>
      </c>
      <c r="AM28" s="122"/>
      <c r="AN28" s="122"/>
      <c r="AO28" s="122"/>
      <c r="AP28" s="122"/>
      <c r="AQ28" s="122"/>
      <c r="AR28" s="122"/>
      <c r="AS28" s="121">
        <v>12</v>
      </c>
      <c r="AT28" s="121">
        <v>3</v>
      </c>
      <c r="AU28" s="121">
        <v>0</v>
      </c>
      <c r="AV28" s="121">
        <v>2</v>
      </c>
      <c r="AW28" s="121">
        <v>1</v>
      </c>
      <c r="AX28" s="121">
        <v>1</v>
      </c>
      <c r="AY28" s="121">
        <v>11</v>
      </c>
      <c r="AZ28" s="121">
        <v>10000</v>
      </c>
      <c r="BA28" s="121">
        <v>8</v>
      </c>
      <c r="BB28" s="121">
        <v>2</v>
      </c>
      <c r="BC28" s="121">
        <v>4</v>
      </c>
      <c r="BD28" s="121">
        <v>20</v>
      </c>
      <c r="BE28" s="121">
        <v>64</v>
      </c>
      <c r="BF28" s="121">
        <v>54</v>
      </c>
      <c r="BG28" s="121">
        <v>1</v>
      </c>
      <c r="BH28" s="121">
        <v>2</v>
      </c>
      <c r="BI28" s="121">
        <v>3</v>
      </c>
      <c r="BJ28" s="121">
        <v>21</v>
      </c>
      <c r="BK28" s="121">
        <v>21</v>
      </c>
      <c r="BL28" s="121">
        <v>20</v>
      </c>
      <c r="BM28" s="121">
        <v>248</v>
      </c>
      <c r="BN28" s="124">
        <v>29.097789989999999</v>
      </c>
      <c r="BO28" s="124">
        <v>-95.453076949999996</v>
      </c>
      <c r="BP28" s="122" t="s">
        <v>361</v>
      </c>
      <c r="BQ28" s="121">
        <v>288</v>
      </c>
      <c r="BR28" s="122"/>
      <c r="BS28" s="122">
        <v>46.04</v>
      </c>
      <c r="BT28" s="122" t="s">
        <v>362</v>
      </c>
      <c r="BU28" s="122"/>
      <c r="BV28" s="121">
        <v>598</v>
      </c>
      <c r="BW28" s="121">
        <v>4</v>
      </c>
      <c r="BX28" s="122">
        <v>36.079000000000001</v>
      </c>
      <c r="BY28" s="121">
        <v>520</v>
      </c>
      <c r="BZ28" s="122">
        <v>-0.95799999999999996</v>
      </c>
      <c r="CA28" s="122"/>
      <c r="CB28" s="122"/>
      <c r="CC28" s="122"/>
      <c r="CD28" s="122" t="s">
        <v>329</v>
      </c>
      <c r="CE28" s="122"/>
      <c r="CF28" s="122"/>
      <c r="CG28" s="122"/>
      <c r="CH28" s="122"/>
      <c r="CI28" s="122" t="s">
        <v>142</v>
      </c>
      <c r="CJ28" s="122" t="s">
        <v>142</v>
      </c>
      <c r="CK28" s="122" t="s">
        <v>141</v>
      </c>
      <c r="CL28" s="121">
        <v>3</v>
      </c>
      <c r="CM28" s="121">
        <v>6</v>
      </c>
      <c r="CN28" s="122" t="s">
        <v>142</v>
      </c>
      <c r="CO28" s="122" t="s">
        <v>330</v>
      </c>
      <c r="CP28" s="121">
        <v>4</v>
      </c>
      <c r="CQ28" s="121">
        <v>0</v>
      </c>
      <c r="CR28" s="121">
        <v>4</v>
      </c>
      <c r="CS28" s="121">
        <v>10</v>
      </c>
      <c r="CT28" s="121">
        <v>130</v>
      </c>
      <c r="CU28" s="121">
        <v>9</v>
      </c>
      <c r="CV28" s="121">
        <v>4</v>
      </c>
      <c r="CW28" s="121">
        <v>420</v>
      </c>
      <c r="CX28" s="121">
        <v>76</v>
      </c>
      <c r="CY28" s="121">
        <v>48</v>
      </c>
      <c r="CZ28" s="121">
        <v>5</v>
      </c>
      <c r="DA28" s="121">
        <v>0</v>
      </c>
      <c r="DB28" s="121">
        <v>0</v>
      </c>
      <c r="DC28" s="121">
        <v>2</v>
      </c>
      <c r="DD28" s="121">
        <v>6</v>
      </c>
      <c r="DE28" s="121">
        <v>5</v>
      </c>
      <c r="DF28" s="121">
        <v>2</v>
      </c>
      <c r="DG28" s="121">
        <v>20</v>
      </c>
      <c r="DH28" s="121">
        <v>5</v>
      </c>
      <c r="DI28" s="121">
        <v>3</v>
      </c>
      <c r="DJ28" s="121">
        <v>124</v>
      </c>
      <c r="DK28" s="121">
        <v>3</v>
      </c>
      <c r="DL28" s="121">
        <v>12</v>
      </c>
      <c r="DM28" s="121">
        <v>20960</v>
      </c>
      <c r="DN28" s="121">
        <v>2011</v>
      </c>
      <c r="DO28" s="121">
        <v>20960</v>
      </c>
      <c r="DP28" s="122">
        <v>7.2</v>
      </c>
      <c r="DQ28" s="122">
        <v>8</v>
      </c>
      <c r="DR28" s="122">
        <v>15.1</v>
      </c>
      <c r="DS28" s="122"/>
      <c r="DT28" s="122"/>
      <c r="DU28" s="122"/>
      <c r="DV28" s="122"/>
      <c r="DW28" s="122"/>
      <c r="DX28" s="122"/>
      <c r="DY28" s="122"/>
      <c r="DZ28" s="122"/>
      <c r="EA28" s="122"/>
      <c r="EB28" s="122"/>
      <c r="EC28" s="122"/>
      <c r="ED28" s="122"/>
      <c r="EE28" s="122"/>
      <c r="EF28" s="122"/>
      <c r="EG28" s="122"/>
      <c r="EH28" s="122"/>
      <c r="EI28" s="122"/>
      <c r="EJ28" s="122"/>
      <c r="EK28" s="122"/>
      <c r="EL28" s="122"/>
      <c r="EM28" s="122"/>
      <c r="EN28" s="122"/>
      <c r="EO28" s="122"/>
      <c r="EP28" s="122"/>
      <c r="EQ28" s="122"/>
      <c r="ER28" s="122"/>
      <c r="ES28" s="121">
        <v>0</v>
      </c>
      <c r="ET28" s="121">
        <v>0</v>
      </c>
      <c r="EU28" s="121">
        <v>3</v>
      </c>
      <c r="EV28" s="121">
        <v>1</v>
      </c>
      <c r="EW28" s="121">
        <v>0</v>
      </c>
      <c r="EX28" s="121">
        <v>3</v>
      </c>
      <c r="EY28" s="121">
        <v>0</v>
      </c>
      <c r="EZ28" s="121">
        <v>2010</v>
      </c>
      <c r="FA28" s="121">
        <v>2010</v>
      </c>
      <c r="FB28" s="121">
        <v>20</v>
      </c>
      <c r="FC28" s="121">
        <v>288</v>
      </c>
      <c r="FD28" s="122" t="s">
        <v>352</v>
      </c>
    </row>
    <row r="29" spans="1:160" x14ac:dyDescent="0.25">
      <c r="A29" s="121">
        <v>11935767</v>
      </c>
      <c r="B29" s="122" t="s">
        <v>141</v>
      </c>
      <c r="C29" s="122" t="s">
        <v>141</v>
      </c>
      <c r="D29" s="122" t="s">
        <v>141</v>
      </c>
      <c r="E29" s="122" t="s">
        <v>141</v>
      </c>
      <c r="F29" s="122" t="s">
        <v>141</v>
      </c>
      <c r="G29" s="122" t="s">
        <v>141</v>
      </c>
      <c r="H29" s="122" t="s">
        <v>141</v>
      </c>
      <c r="I29" s="118">
        <v>40431</v>
      </c>
      <c r="J29" s="123">
        <v>0.60069444444444442</v>
      </c>
      <c r="K29" s="122"/>
      <c r="L29" s="121">
        <v>20</v>
      </c>
      <c r="M29" s="121">
        <v>1585</v>
      </c>
      <c r="N29" s="122" t="s">
        <v>142</v>
      </c>
      <c r="O29" s="122" t="s">
        <v>142</v>
      </c>
      <c r="P29" s="120">
        <v>29.102080000000001</v>
      </c>
      <c r="Q29" s="120">
        <v>-95.429419999999993</v>
      </c>
      <c r="R29" s="121">
        <v>15</v>
      </c>
      <c r="S29" s="121">
        <v>288</v>
      </c>
      <c r="T29" s="121"/>
      <c r="U29" s="121">
        <v>1</v>
      </c>
      <c r="V29" s="122"/>
      <c r="W29" s="122"/>
      <c r="X29" s="122" t="s">
        <v>352</v>
      </c>
      <c r="Y29" s="122"/>
      <c r="Z29" s="122" t="s">
        <v>141</v>
      </c>
      <c r="AA29" s="122" t="s">
        <v>141</v>
      </c>
      <c r="AB29" s="121">
        <v>45</v>
      </c>
      <c r="AC29" s="122" t="s">
        <v>141</v>
      </c>
      <c r="AD29" s="122" t="s">
        <v>141</v>
      </c>
      <c r="AE29" s="122" t="s">
        <v>141</v>
      </c>
      <c r="AF29" s="121">
        <v>15</v>
      </c>
      <c r="AG29" s="121">
        <v>698</v>
      </c>
      <c r="AH29" s="121"/>
      <c r="AI29" s="121"/>
      <c r="AJ29" s="122"/>
      <c r="AK29" s="122"/>
      <c r="AL29" s="122" t="s">
        <v>352</v>
      </c>
      <c r="AM29" s="122"/>
      <c r="AN29" s="122"/>
      <c r="AO29" s="122"/>
      <c r="AP29" s="122"/>
      <c r="AQ29" s="122"/>
      <c r="AR29" s="122"/>
      <c r="AS29" s="121">
        <v>11</v>
      </c>
      <c r="AT29" s="121">
        <v>1</v>
      </c>
      <c r="AU29" s="121">
        <v>0</v>
      </c>
      <c r="AV29" s="121"/>
      <c r="AW29" s="121">
        <v>1</v>
      </c>
      <c r="AX29" s="121">
        <v>1</v>
      </c>
      <c r="AY29" s="121">
        <v>11</v>
      </c>
      <c r="AZ29" s="121">
        <v>10000</v>
      </c>
      <c r="BA29" s="121">
        <v>8</v>
      </c>
      <c r="BB29" s="121">
        <v>2</v>
      </c>
      <c r="BC29" s="121">
        <v>4</v>
      </c>
      <c r="BD29" s="121">
        <v>30</v>
      </c>
      <c r="BE29" s="121">
        <v>64</v>
      </c>
      <c r="BF29" s="121">
        <v>54</v>
      </c>
      <c r="BG29" s="121">
        <v>1</v>
      </c>
      <c r="BH29" s="121">
        <v>4</v>
      </c>
      <c r="BI29" s="121">
        <v>1</v>
      </c>
      <c r="BJ29" s="121">
        <v>21</v>
      </c>
      <c r="BK29" s="121">
        <v>21</v>
      </c>
      <c r="BL29" s="121">
        <v>20</v>
      </c>
      <c r="BM29" s="121">
        <v>1585</v>
      </c>
      <c r="BN29" s="124">
        <v>29.10208312</v>
      </c>
      <c r="BO29" s="124">
        <v>-95.429368100000005</v>
      </c>
      <c r="BP29" s="122"/>
      <c r="BQ29" s="121"/>
      <c r="BR29" s="122"/>
      <c r="BS29" s="122"/>
      <c r="BT29" s="122" t="s">
        <v>359</v>
      </c>
      <c r="BU29" s="122">
        <v>5667</v>
      </c>
      <c r="BV29" s="122"/>
      <c r="BW29" s="122"/>
      <c r="BX29" s="122"/>
      <c r="BY29" s="122"/>
      <c r="BZ29" s="122"/>
      <c r="CA29" s="122"/>
      <c r="CB29" s="122"/>
      <c r="CC29" s="122"/>
      <c r="CD29" s="122" t="s">
        <v>329</v>
      </c>
      <c r="CE29" s="122"/>
      <c r="CF29" s="122"/>
      <c r="CG29" s="122"/>
      <c r="CH29" s="122"/>
      <c r="CI29" s="122" t="s">
        <v>142</v>
      </c>
      <c r="CJ29" s="122" t="s">
        <v>141</v>
      </c>
      <c r="CK29" s="122" t="s">
        <v>142</v>
      </c>
      <c r="CL29" s="121">
        <v>5</v>
      </c>
      <c r="CM29" s="121">
        <v>0</v>
      </c>
      <c r="CN29" s="122" t="s">
        <v>142</v>
      </c>
      <c r="CO29" s="122" t="s">
        <v>337</v>
      </c>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2"/>
      <c r="DV29" s="122"/>
      <c r="DW29" s="122"/>
      <c r="DX29" s="122"/>
      <c r="DY29" s="122"/>
      <c r="DZ29" s="122"/>
      <c r="EA29" s="122"/>
      <c r="EB29" s="122"/>
      <c r="EC29" s="122"/>
      <c r="ED29" s="122"/>
      <c r="EE29" s="122"/>
      <c r="EF29" s="122"/>
      <c r="EG29" s="122"/>
      <c r="EH29" s="122"/>
      <c r="EI29" s="122"/>
      <c r="EJ29" s="122"/>
      <c r="EK29" s="122"/>
      <c r="EL29" s="122"/>
      <c r="EM29" s="122"/>
      <c r="EN29" s="122"/>
      <c r="EO29" s="122"/>
      <c r="EP29" s="122"/>
      <c r="EQ29" s="122"/>
      <c r="ER29" s="122"/>
      <c r="ES29" s="121">
        <v>0</v>
      </c>
      <c r="ET29" s="121">
        <v>0</v>
      </c>
      <c r="EU29" s="121">
        <v>0</v>
      </c>
      <c r="EV29" s="121">
        <v>3</v>
      </c>
      <c r="EW29" s="121">
        <v>0</v>
      </c>
      <c r="EX29" s="121">
        <v>0</v>
      </c>
      <c r="EY29" s="121">
        <v>0</v>
      </c>
      <c r="EZ29" s="121">
        <v>2010</v>
      </c>
      <c r="FA29" s="121">
        <v>2010</v>
      </c>
      <c r="FB29" s="121">
        <v>20</v>
      </c>
      <c r="FC29" s="121">
        <v>288</v>
      </c>
      <c r="FD29" s="122" t="s">
        <v>352</v>
      </c>
    </row>
    <row r="30" spans="1:160" x14ac:dyDescent="0.25">
      <c r="A30" s="117">
        <v>12504303</v>
      </c>
      <c r="B30" s="117" t="s">
        <v>141</v>
      </c>
      <c r="C30" s="117" t="s">
        <v>141</v>
      </c>
      <c r="D30" s="117" t="s">
        <v>141</v>
      </c>
      <c r="E30" s="117" t="s">
        <v>141</v>
      </c>
      <c r="F30" s="117" t="s">
        <v>141</v>
      </c>
      <c r="G30" s="117" t="s">
        <v>142</v>
      </c>
      <c r="H30" s="117" t="s">
        <v>141</v>
      </c>
      <c r="I30" s="118">
        <v>40876</v>
      </c>
      <c r="J30" s="119">
        <v>0.63680555555555551</v>
      </c>
      <c r="K30" s="117"/>
      <c r="L30" s="117">
        <v>20</v>
      </c>
      <c r="M30" s="117">
        <v>1585</v>
      </c>
      <c r="N30" s="117" t="s">
        <v>142</v>
      </c>
      <c r="O30" s="117" t="s">
        <v>142</v>
      </c>
      <c r="P30" s="120">
        <v>29.105219999999999</v>
      </c>
      <c r="Q30" s="120">
        <v>-95.429580000000001</v>
      </c>
      <c r="R30" s="117">
        <v>15</v>
      </c>
      <c r="S30" s="117">
        <v>288</v>
      </c>
      <c r="T30" s="117"/>
      <c r="U30" s="117">
        <v>1</v>
      </c>
      <c r="V30" s="117"/>
      <c r="W30" s="117"/>
      <c r="X30" s="117" t="s">
        <v>352</v>
      </c>
      <c r="Y30" s="117"/>
      <c r="Z30" s="117" t="s">
        <v>141</v>
      </c>
      <c r="AA30" s="117" t="s">
        <v>141</v>
      </c>
      <c r="AB30" s="117">
        <v>40</v>
      </c>
      <c r="AC30" s="117" t="s">
        <v>141</v>
      </c>
      <c r="AD30" s="117" t="s">
        <v>141</v>
      </c>
      <c r="AE30" s="117" t="s">
        <v>141</v>
      </c>
      <c r="AF30" s="117">
        <v>15</v>
      </c>
      <c r="AG30" s="117">
        <v>698</v>
      </c>
      <c r="AH30" s="117"/>
      <c r="AI30" s="117"/>
      <c r="AJ30" s="117"/>
      <c r="AK30" s="117"/>
      <c r="AL30" s="117" t="s">
        <v>352</v>
      </c>
      <c r="AM30" s="117"/>
      <c r="AN30" s="117"/>
      <c r="AO30" s="117"/>
      <c r="AP30" s="117"/>
      <c r="AQ30" s="117"/>
      <c r="AR30" s="117"/>
      <c r="AS30" s="117">
        <v>11</v>
      </c>
      <c r="AT30" s="117">
        <v>1</v>
      </c>
      <c r="AU30" s="117">
        <v>0</v>
      </c>
      <c r="AV30" s="117"/>
      <c r="AW30" s="117">
        <v>1</v>
      </c>
      <c r="AX30" s="117">
        <v>1</v>
      </c>
      <c r="AY30" s="117">
        <v>11</v>
      </c>
      <c r="AZ30" s="117">
        <v>10000</v>
      </c>
      <c r="BA30" s="117">
        <v>8</v>
      </c>
      <c r="BB30" s="117">
        <v>2</v>
      </c>
      <c r="BC30" s="117">
        <v>4</v>
      </c>
      <c r="BD30" s="117">
        <v>20</v>
      </c>
      <c r="BE30" s="117">
        <v>64</v>
      </c>
      <c r="BF30" s="117">
        <v>54</v>
      </c>
      <c r="BG30" s="117">
        <v>1</v>
      </c>
      <c r="BH30" s="117">
        <v>4</v>
      </c>
      <c r="BI30" s="117">
        <v>1</v>
      </c>
      <c r="BJ30" s="117">
        <v>21</v>
      </c>
      <c r="BK30" s="117">
        <v>21</v>
      </c>
      <c r="BL30" s="117">
        <v>20</v>
      </c>
      <c r="BM30" s="117">
        <v>1585</v>
      </c>
      <c r="BN30" s="117">
        <v>29.105220589999998</v>
      </c>
      <c r="BO30" s="117">
        <v>-95.429571800000005</v>
      </c>
      <c r="BP30" s="117"/>
      <c r="BQ30" s="117"/>
      <c r="BR30" s="117"/>
      <c r="BS30" s="117"/>
      <c r="BT30" s="117" t="s">
        <v>359</v>
      </c>
      <c r="BU30" s="117">
        <v>5815</v>
      </c>
      <c r="BV30" s="117"/>
      <c r="BW30" s="117"/>
      <c r="BX30" s="117"/>
      <c r="BY30" s="117"/>
      <c r="BZ30" s="117"/>
      <c r="CA30" s="117"/>
      <c r="CB30" s="117"/>
      <c r="CC30" s="117"/>
      <c r="CD30" s="117" t="s">
        <v>329</v>
      </c>
      <c r="CE30" s="117"/>
      <c r="CF30" s="117"/>
      <c r="CG30" s="117"/>
      <c r="CH30" s="117"/>
      <c r="CI30" s="117" t="s">
        <v>142</v>
      </c>
      <c r="CJ30" s="117" t="s">
        <v>141</v>
      </c>
      <c r="CK30" s="117" t="s">
        <v>142</v>
      </c>
      <c r="CL30" s="117">
        <v>2</v>
      </c>
      <c r="CM30" s="117">
        <v>0</v>
      </c>
      <c r="CN30" s="117" t="s">
        <v>142</v>
      </c>
      <c r="CO30" s="117" t="s">
        <v>346</v>
      </c>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c r="EO30" s="117"/>
      <c r="EP30" s="117"/>
      <c r="EQ30" s="117"/>
      <c r="ER30" s="117"/>
      <c r="ES30" s="117">
        <v>0</v>
      </c>
      <c r="ET30" s="117">
        <v>1</v>
      </c>
      <c r="EU30" s="117">
        <v>0</v>
      </c>
      <c r="EV30" s="117">
        <v>1</v>
      </c>
      <c r="EW30" s="117">
        <v>0</v>
      </c>
      <c r="EX30" s="117">
        <v>1</v>
      </c>
      <c r="EY30" s="117">
        <v>0</v>
      </c>
      <c r="EZ30" s="117">
        <v>2011</v>
      </c>
      <c r="FA30" s="117">
        <v>2011</v>
      </c>
      <c r="FB30" s="117">
        <v>20</v>
      </c>
      <c r="FC30" s="117">
        <v>288</v>
      </c>
      <c r="FD30" s="117" t="s">
        <v>352</v>
      </c>
    </row>
    <row r="31" spans="1:160" x14ac:dyDescent="0.25">
      <c r="A31" s="117">
        <v>13568395</v>
      </c>
      <c r="B31" s="117" t="s">
        <v>141</v>
      </c>
      <c r="C31" s="117" t="s">
        <v>141</v>
      </c>
      <c r="D31" s="117" t="s">
        <v>141</v>
      </c>
      <c r="E31" s="117" t="s">
        <v>141</v>
      </c>
      <c r="F31" s="117" t="s">
        <v>141</v>
      </c>
      <c r="G31" s="117" t="s">
        <v>141</v>
      </c>
      <c r="H31" s="117" t="s">
        <v>141</v>
      </c>
      <c r="I31" s="118">
        <v>41594</v>
      </c>
      <c r="J31" s="119">
        <v>0.8965277777777777</v>
      </c>
      <c r="K31" s="117"/>
      <c r="L31" s="117">
        <v>20</v>
      </c>
      <c r="M31" s="117">
        <v>1585</v>
      </c>
      <c r="N31" s="117" t="s">
        <v>142</v>
      </c>
      <c r="O31" s="117" t="s">
        <v>142</v>
      </c>
      <c r="P31" s="120">
        <v>29.108249990000001</v>
      </c>
      <c r="Q31" s="120">
        <v>-95.429779999999994</v>
      </c>
      <c r="R31" s="117">
        <v>15</v>
      </c>
      <c r="S31" s="117">
        <v>288</v>
      </c>
      <c r="T31" s="117"/>
      <c r="U31" s="117">
        <v>1</v>
      </c>
      <c r="V31" s="117"/>
      <c r="W31" s="117"/>
      <c r="X31" s="117" t="s">
        <v>352</v>
      </c>
      <c r="Y31" s="117"/>
      <c r="Z31" s="117" t="s">
        <v>141</v>
      </c>
      <c r="AA31" s="117" t="s">
        <v>141</v>
      </c>
      <c r="AB31" s="117">
        <v>45</v>
      </c>
      <c r="AC31" s="117" t="s">
        <v>141</v>
      </c>
      <c r="AD31" s="117" t="s">
        <v>141</v>
      </c>
      <c r="AE31" s="117" t="s">
        <v>141</v>
      </c>
      <c r="AF31" s="117">
        <v>15</v>
      </c>
      <c r="AG31" s="117">
        <v>698</v>
      </c>
      <c r="AH31" s="117"/>
      <c r="AI31" s="117"/>
      <c r="AJ31" s="117"/>
      <c r="AK31" s="117"/>
      <c r="AL31" s="117" t="s">
        <v>352</v>
      </c>
      <c r="AM31" s="117"/>
      <c r="AN31" s="117"/>
      <c r="AO31" s="117"/>
      <c r="AP31" s="117"/>
      <c r="AQ31" s="117"/>
      <c r="AR31" s="117"/>
      <c r="AS31" s="117">
        <v>11</v>
      </c>
      <c r="AT31" s="117">
        <v>3</v>
      </c>
      <c r="AU31" s="117">
        <v>0</v>
      </c>
      <c r="AV31" s="117"/>
      <c r="AW31" s="117">
        <v>1</v>
      </c>
      <c r="AX31" s="117">
        <v>2</v>
      </c>
      <c r="AY31" s="117">
        <v>11</v>
      </c>
      <c r="AZ31" s="117">
        <v>10000</v>
      </c>
      <c r="BA31" s="117">
        <v>8</v>
      </c>
      <c r="BB31" s="117">
        <v>2</v>
      </c>
      <c r="BC31" s="117">
        <v>2</v>
      </c>
      <c r="BD31" s="117">
        <v>20</v>
      </c>
      <c r="BE31" s="117">
        <v>64</v>
      </c>
      <c r="BF31" s="117">
        <v>46</v>
      </c>
      <c r="BG31" s="117">
        <v>1</v>
      </c>
      <c r="BH31" s="117">
        <v>4</v>
      </c>
      <c r="BI31" s="117">
        <v>1</v>
      </c>
      <c r="BJ31" s="117">
        <v>21</v>
      </c>
      <c r="BK31" s="117">
        <v>21</v>
      </c>
      <c r="BL31" s="117">
        <v>20</v>
      </c>
      <c r="BM31" s="117">
        <v>1585</v>
      </c>
      <c r="BN31" s="117">
        <v>29.108250930000001</v>
      </c>
      <c r="BO31" s="117">
        <v>-95.429755599999993</v>
      </c>
      <c r="BP31" s="117"/>
      <c r="BQ31" s="117"/>
      <c r="BR31" s="117"/>
      <c r="BS31" s="117"/>
      <c r="BT31" s="117" t="s">
        <v>359</v>
      </c>
      <c r="BU31" s="117">
        <v>5904</v>
      </c>
      <c r="BV31" s="117"/>
      <c r="BW31" s="117"/>
      <c r="BX31" s="117"/>
      <c r="BY31" s="117"/>
      <c r="BZ31" s="117"/>
      <c r="CA31" s="117"/>
      <c r="CB31" s="117"/>
      <c r="CC31" s="117"/>
      <c r="CD31" s="117" t="s">
        <v>355</v>
      </c>
      <c r="CE31" s="117"/>
      <c r="CF31" s="117"/>
      <c r="CG31" s="117"/>
      <c r="CH31" s="117"/>
      <c r="CI31" s="117" t="s">
        <v>142</v>
      </c>
      <c r="CJ31" s="117" t="s">
        <v>141</v>
      </c>
      <c r="CK31" s="117" t="s">
        <v>142</v>
      </c>
      <c r="CL31" s="117">
        <v>5</v>
      </c>
      <c r="CM31" s="117">
        <v>0</v>
      </c>
      <c r="CN31" s="117" t="s">
        <v>142</v>
      </c>
      <c r="CO31" s="117" t="s">
        <v>144</v>
      </c>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v>0</v>
      </c>
      <c r="ET31" s="117">
        <v>0</v>
      </c>
      <c r="EU31" s="117">
        <v>0</v>
      </c>
      <c r="EV31" s="117">
        <v>4</v>
      </c>
      <c r="EW31" s="117">
        <v>2</v>
      </c>
      <c r="EX31" s="117">
        <v>0</v>
      </c>
      <c r="EY31" s="117">
        <v>0</v>
      </c>
      <c r="EZ31" s="117">
        <v>2013</v>
      </c>
      <c r="FA31" s="117">
        <v>2013</v>
      </c>
      <c r="FB31" s="117">
        <v>20</v>
      </c>
      <c r="FC31" s="117">
        <v>288</v>
      </c>
      <c r="FD31" s="117" t="s">
        <v>352</v>
      </c>
    </row>
    <row r="32" spans="1:160" x14ac:dyDescent="0.25">
      <c r="A32" s="117">
        <v>11544085</v>
      </c>
      <c r="B32" s="117" t="s">
        <v>141</v>
      </c>
      <c r="C32" s="117" t="s">
        <v>141</v>
      </c>
      <c r="D32" s="117" t="s">
        <v>141</v>
      </c>
      <c r="E32" s="117" t="s">
        <v>141</v>
      </c>
      <c r="F32" s="117" t="s">
        <v>141</v>
      </c>
      <c r="G32" s="117" t="s">
        <v>141</v>
      </c>
      <c r="H32" s="117" t="s">
        <v>141</v>
      </c>
      <c r="I32" s="118">
        <v>40339</v>
      </c>
      <c r="J32" s="119">
        <v>0.70833333333333337</v>
      </c>
      <c r="K32" s="117"/>
      <c r="L32" s="117">
        <v>20</v>
      </c>
      <c r="M32" s="117">
        <v>1585</v>
      </c>
      <c r="N32" s="117" t="s">
        <v>142</v>
      </c>
      <c r="O32" s="117" t="s">
        <v>142</v>
      </c>
      <c r="P32" s="120">
        <v>29.110720000000001</v>
      </c>
      <c r="Q32" s="120">
        <v>-95.429929999999999</v>
      </c>
      <c r="R32" s="117">
        <v>15</v>
      </c>
      <c r="S32" s="117">
        <v>288</v>
      </c>
      <c r="T32" s="117"/>
      <c r="U32" s="117">
        <v>1</v>
      </c>
      <c r="V32" s="117"/>
      <c r="W32" s="117"/>
      <c r="X32" s="117" t="s">
        <v>352</v>
      </c>
      <c r="Y32" s="117"/>
      <c r="Z32" s="117" t="s">
        <v>141</v>
      </c>
      <c r="AA32" s="117" t="s">
        <v>141</v>
      </c>
      <c r="AB32" s="117">
        <v>0</v>
      </c>
      <c r="AC32" s="117" t="s">
        <v>141</v>
      </c>
      <c r="AD32" s="117" t="s">
        <v>141</v>
      </c>
      <c r="AE32" s="117" t="s">
        <v>142</v>
      </c>
      <c r="AF32" s="117">
        <v>15</v>
      </c>
      <c r="AG32" s="117">
        <v>454</v>
      </c>
      <c r="AH32" s="117" t="s">
        <v>363</v>
      </c>
      <c r="AI32" s="117">
        <v>1</v>
      </c>
      <c r="AJ32" s="117"/>
      <c r="AK32" s="117"/>
      <c r="AL32" s="117" t="s">
        <v>352</v>
      </c>
      <c r="AM32" s="117"/>
      <c r="AN32" s="117"/>
      <c r="AO32" s="117"/>
      <c r="AP32" s="117"/>
      <c r="AQ32" s="117"/>
      <c r="AR32" s="117"/>
      <c r="AS32" s="117">
        <v>11</v>
      </c>
      <c r="AT32" s="117">
        <v>1</v>
      </c>
      <c r="AU32" s="117">
        <v>2</v>
      </c>
      <c r="AV32" s="117"/>
      <c r="AW32" s="117">
        <v>4</v>
      </c>
      <c r="AX32" s="117">
        <v>1</v>
      </c>
      <c r="AY32" s="117">
        <v>8</v>
      </c>
      <c r="AZ32" s="117">
        <v>10000</v>
      </c>
      <c r="BA32" s="117">
        <v>8</v>
      </c>
      <c r="BB32" s="117">
        <v>2</v>
      </c>
      <c r="BC32" s="117">
        <v>1</v>
      </c>
      <c r="BD32" s="117">
        <v>14</v>
      </c>
      <c r="BE32" s="117">
        <v>64</v>
      </c>
      <c r="BF32" s="117">
        <v>54</v>
      </c>
      <c r="BG32" s="117">
        <v>1</v>
      </c>
      <c r="BH32" s="117">
        <v>4</v>
      </c>
      <c r="BI32" s="117">
        <v>1</v>
      </c>
      <c r="BJ32" s="117">
        <v>21</v>
      </c>
      <c r="BK32" s="117">
        <v>21</v>
      </c>
      <c r="BL32" s="117">
        <v>20</v>
      </c>
      <c r="BM32" s="117">
        <v>1585</v>
      </c>
      <c r="BN32" s="117">
        <v>29.110721009999999</v>
      </c>
      <c r="BO32" s="117">
        <v>-95.429913290000002</v>
      </c>
      <c r="BP32" s="117"/>
      <c r="BQ32" s="117"/>
      <c r="BR32" s="117"/>
      <c r="BS32" s="117"/>
      <c r="BT32" s="117" t="s">
        <v>359</v>
      </c>
      <c r="BU32" s="117">
        <v>5961</v>
      </c>
      <c r="BV32" s="117"/>
      <c r="BW32" s="117"/>
      <c r="BX32" s="117"/>
      <c r="BY32" s="117"/>
      <c r="BZ32" s="117"/>
      <c r="CA32" s="117"/>
      <c r="CB32" s="117"/>
      <c r="CC32" s="117"/>
      <c r="CD32" s="117" t="s">
        <v>355</v>
      </c>
      <c r="CE32" s="117"/>
      <c r="CF32" s="117"/>
      <c r="CG32" s="117"/>
      <c r="CH32" s="117"/>
      <c r="CI32" s="117" t="s">
        <v>142</v>
      </c>
      <c r="CJ32" s="117" t="s">
        <v>141</v>
      </c>
      <c r="CK32" s="117" t="s">
        <v>142</v>
      </c>
      <c r="CL32" s="117">
        <v>5</v>
      </c>
      <c r="CM32" s="117">
        <v>0</v>
      </c>
      <c r="CN32" s="117" t="s">
        <v>142</v>
      </c>
      <c r="CO32" s="117" t="s">
        <v>339</v>
      </c>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v>0</v>
      </c>
      <c r="ET32" s="117">
        <v>0</v>
      </c>
      <c r="EU32" s="117">
        <v>0</v>
      </c>
      <c r="EV32" s="117">
        <v>3</v>
      </c>
      <c r="EW32" s="117">
        <v>0</v>
      </c>
      <c r="EX32" s="117">
        <v>0</v>
      </c>
      <c r="EY32" s="117">
        <v>0</v>
      </c>
      <c r="EZ32" s="117">
        <v>2010</v>
      </c>
      <c r="FA32" s="117">
        <v>2010</v>
      </c>
      <c r="FB32" s="117">
        <v>20</v>
      </c>
      <c r="FC32" s="117">
        <v>288</v>
      </c>
      <c r="FD32" s="117" t="s">
        <v>352</v>
      </c>
    </row>
    <row r="33" spans="1:160" x14ac:dyDescent="0.25">
      <c r="A33" s="117">
        <v>11725394</v>
      </c>
      <c r="B33" s="117" t="s">
        <v>141</v>
      </c>
      <c r="C33" s="117" t="s">
        <v>141</v>
      </c>
      <c r="D33" s="117" t="s">
        <v>141</v>
      </c>
      <c r="E33" s="117" t="s">
        <v>141</v>
      </c>
      <c r="F33" s="117" t="s">
        <v>141</v>
      </c>
      <c r="G33" s="117" t="s">
        <v>141</v>
      </c>
      <c r="H33" s="117" t="s">
        <v>141</v>
      </c>
      <c r="I33" s="118">
        <v>40461</v>
      </c>
      <c r="J33" s="119">
        <v>0.16666666666666666</v>
      </c>
      <c r="K33" s="117"/>
      <c r="L33" s="117">
        <v>20</v>
      </c>
      <c r="M33" s="117">
        <v>1585</v>
      </c>
      <c r="N33" s="117" t="s">
        <v>142</v>
      </c>
      <c r="O33" s="117" t="s">
        <v>142</v>
      </c>
      <c r="P33" s="120">
        <v>29.114879999999999</v>
      </c>
      <c r="Q33" s="120">
        <v>-95.429850000000002</v>
      </c>
      <c r="R33" s="117">
        <v>15</v>
      </c>
      <c r="S33" s="117">
        <v>288</v>
      </c>
      <c r="T33" s="117"/>
      <c r="U33" s="117">
        <v>1</v>
      </c>
      <c r="V33" s="117"/>
      <c r="W33" s="117"/>
      <c r="X33" s="117" t="s">
        <v>352</v>
      </c>
      <c r="Y33" s="117"/>
      <c r="Z33" s="117" t="s">
        <v>141</v>
      </c>
      <c r="AA33" s="117" t="s">
        <v>141</v>
      </c>
      <c r="AB33" s="117">
        <v>45</v>
      </c>
      <c r="AC33" s="117" t="s">
        <v>141</v>
      </c>
      <c r="AD33" s="117" t="s">
        <v>141</v>
      </c>
      <c r="AE33" s="117" t="s">
        <v>141</v>
      </c>
      <c r="AF33" s="117">
        <v>15</v>
      </c>
      <c r="AG33" s="117">
        <v>220</v>
      </c>
      <c r="AH33" s="117"/>
      <c r="AI33" s="117"/>
      <c r="AJ33" s="117"/>
      <c r="AK33" s="117"/>
      <c r="AL33" s="117" t="s">
        <v>352</v>
      </c>
      <c r="AM33" s="117"/>
      <c r="AN33" s="117"/>
      <c r="AO33" s="117"/>
      <c r="AP33" s="117"/>
      <c r="AQ33" s="117"/>
      <c r="AR33" s="117"/>
      <c r="AS33" s="117">
        <v>11</v>
      </c>
      <c r="AT33" s="117">
        <v>3</v>
      </c>
      <c r="AU33" s="117">
        <v>0</v>
      </c>
      <c r="AV33" s="117"/>
      <c r="AW33" s="117">
        <v>1</v>
      </c>
      <c r="AX33" s="117">
        <v>1</v>
      </c>
      <c r="AY33" s="117">
        <v>11</v>
      </c>
      <c r="AZ33" s="117">
        <v>10000</v>
      </c>
      <c r="BA33" s="117">
        <v>8</v>
      </c>
      <c r="BB33" s="117">
        <v>7</v>
      </c>
      <c r="BC33" s="117">
        <v>4</v>
      </c>
      <c r="BD33" s="117">
        <v>1</v>
      </c>
      <c r="BE33" s="117">
        <v>22</v>
      </c>
      <c r="BF33" s="117">
        <v>54</v>
      </c>
      <c r="BG33" s="117">
        <v>1</v>
      </c>
      <c r="BH33" s="117">
        <v>4</v>
      </c>
      <c r="BI33" s="117">
        <v>2</v>
      </c>
      <c r="BJ33" s="117">
        <v>21</v>
      </c>
      <c r="BK33" s="117">
        <v>21</v>
      </c>
      <c r="BL33" s="117">
        <v>20</v>
      </c>
      <c r="BM33" s="117">
        <v>1585</v>
      </c>
      <c r="BN33" s="117">
        <v>29.11488684</v>
      </c>
      <c r="BO33" s="117">
        <v>-95.429732229999999</v>
      </c>
      <c r="BP33" s="117"/>
      <c r="BQ33" s="117"/>
      <c r="BR33" s="117"/>
      <c r="BS33" s="117"/>
      <c r="BT33" s="117" t="s">
        <v>359</v>
      </c>
      <c r="BU33" s="117">
        <v>6101</v>
      </c>
      <c r="BV33" s="117"/>
      <c r="BW33" s="117"/>
      <c r="BX33" s="117"/>
      <c r="BY33" s="117"/>
      <c r="BZ33" s="117"/>
      <c r="CA33" s="117"/>
      <c r="CB33" s="117"/>
      <c r="CC33" s="117"/>
      <c r="CD33" s="117" t="s">
        <v>329</v>
      </c>
      <c r="CE33" s="117"/>
      <c r="CF33" s="117"/>
      <c r="CG33" s="117"/>
      <c r="CH33" s="117"/>
      <c r="CI33" s="117" t="s">
        <v>142</v>
      </c>
      <c r="CJ33" s="117" t="s">
        <v>141</v>
      </c>
      <c r="CK33" s="117" t="s">
        <v>142</v>
      </c>
      <c r="CL33" s="117">
        <v>5</v>
      </c>
      <c r="CM33" s="117">
        <v>0</v>
      </c>
      <c r="CN33" s="117" t="s">
        <v>142</v>
      </c>
      <c r="CO33" s="117" t="s">
        <v>335</v>
      </c>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v>0</v>
      </c>
      <c r="ET33" s="117">
        <v>0</v>
      </c>
      <c r="EU33" s="117">
        <v>0</v>
      </c>
      <c r="EV33" s="117">
        <v>1</v>
      </c>
      <c r="EW33" s="117">
        <v>0</v>
      </c>
      <c r="EX33" s="117">
        <v>0</v>
      </c>
      <c r="EY33" s="117">
        <v>0</v>
      </c>
      <c r="EZ33" s="117">
        <v>2010</v>
      </c>
      <c r="FA33" s="117">
        <v>2010</v>
      </c>
      <c r="FB33" s="117">
        <v>20</v>
      </c>
      <c r="FC33" s="117">
        <v>288</v>
      </c>
      <c r="FD33" s="117" t="s">
        <v>352</v>
      </c>
    </row>
    <row r="34" spans="1:160" x14ac:dyDescent="0.25">
      <c r="A34" s="117">
        <v>11862338</v>
      </c>
      <c r="B34" s="117" t="s">
        <v>141</v>
      </c>
      <c r="C34" s="117" t="s">
        <v>141</v>
      </c>
      <c r="D34" s="117" t="s">
        <v>141</v>
      </c>
      <c r="E34" s="117" t="s">
        <v>141</v>
      </c>
      <c r="F34" s="117" t="s">
        <v>141</v>
      </c>
      <c r="G34" s="117" t="s">
        <v>141</v>
      </c>
      <c r="H34" s="117" t="s">
        <v>141</v>
      </c>
      <c r="I34" s="118">
        <v>40537</v>
      </c>
      <c r="J34" s="119">
        <v>0.73958333333333337</v>
      </c>
      <c r="K34" s="117"/>
      <c r="L34" s="117">
        <v>20</v>
      </c>
      <c r="M34" s="117">
        <v>1585</v>
      </c>
      <c r="N34" s="117" t="s">
        <v>142</v>
      </c>
      <c r="O34" s="117" t="s">
        <v>142</v>
      </c>
      <c r="P34" s="120">
        <v>29.124420000000001</v>
      </c>
      <c r="Q34" s="120">
        <v>-95.430419999999998</v>
      </c>
      <c r="R34" s="117">
        <v>9</v>
      </c>
      <c r="S34" s="117">
        <v>288</v>
      </c>
      <c r="T34" s="117"/>
      <c r="U34" s="117">
        <v>1</v>
      </c>
      <c r="V34" s="117"/>
      <c r="W34" s="117"/>
      <c r="X34" s="117" t="s">
        <v>352</v>
      </c>
      <c r="Y34" s="117"/>
      <c r="Z34" s="117" t="s">
        <v>141</v>
      </c>
      <c r="AA34" s="117" t="s">
        <v>141</v>
      </c>
      <c r="AB34" s="117">
        <v>55</v>
      </c>
      <c r="AC34" s="117" t="s">
        <v>141</v>
      </c>
      <c r="AD34" s="117" t="s">
        <v>141</v>
      </c>
      <c r="AE34" s="117" t="s">
        <v>142</v>
      </c>
      <c r="AF34" s="117">
        <v>15</v>
      </c>
      <c r="AG34" s="117">
        <v>220</v>
      </c>
      <c r="AH34" s="117"/>
      <c r="AI34" s="117">
        <v>1</v>
      </c>
      <c r="AJ34" s="117"/>
      <c r="AK34" s="117"/>
      <c r="AL34" s="117" t="s">
        <v>352</v>
      </c>
      <c r="AM34" s="117"/>
      <c r="AN34" s="117"/>
      <c r="AO34" s="117"/>
      <c r="AP34" s="117"/>
      <c r="AQ34" s="117"/>
      <c r="AR34" s="117"/>
      <c r="AS34" s="117">
        <v>11</v>
      </c>
      <c r="AT34" s="117">
        <v>4</v>
      </c>
      <c r="AU34" s="117">
        <v>4</v>
      </c>
      <c r="AV34" s="117">
        <v>2</v>
      </c>
      <c r="AW34" s="117">
        <v>1</v>
      </c>
      <c r="AX34" s="117">
        <v>1</v>
      </c>
      <c r="AY34" s="117">
        <v>6</v>
      </c>
      <c r="AZ34" s="117">
        <v>10000</v>
      </c>
      <c r="BA34" s="117">
        <v>8</v>
      </c>
      <c r="BB34" s="117">
        <v>2</v>
      </c>
      <c r="BC34" s="117">
        <v>1</v>
      </c>
      <c r="BD34" s="117">
        <v>10</v>
      </c>
      <c r="BE34" s="117">
        <v>64</v>
      </c>
      <c r="BF34" s="117">
        <v>54</v>
      </c>
      <c r="BG34" s="117">
        <v>1</v>
      </c>
      <c r="BH34" s="117">
        <v>2</v>
      </c>
      <c r="BI34" s="117">
        <v>1</v>
      </c>
      <c r="BJ34" s="117">
        <v>21</v>
      </c>
      <c r="BK34" s="117">
        <v>21</v>
      </c>
      <c r="BL34" s="117">
        <v>20</v>
      </c>
      <c r="BM34" s="117">
        <v>1585</v>
      </c>
      <c r="BN34" s="117">
        <v>29.125564449999999</v>
      </c>
      <c r="BO34" s="117">
        <v>-95.451520489999993</v>
      </c>
      <c r="BP34" s="117" t="s">
        <v>361</v>
      </c>
      <c r="BQ34" s="117">
        <v>288</v>
      </c>
      <c r="BR34" s="117"/>
      <c r="BS34" s="117">
        <v>44.124000000000002</v>
      </c>
      <c r="BT34" s="117" t="s">
        <v>362</v>
      </c>
      <c r="BU34" s="117"/>
      <c r="BV34" s="117">
        <v>598</v>
      </c>
      <c r="BW34" s="117">
        <v>4</v>
      </c>
      <c r="BX34" s="117">
        <v>34.308999999999997</v>
      </c>
      <c r="BY34" s="117">
        <v>518</v>
      </c>
      <c r="BZ34" s="117">
        <v>-0.70899999999999996</v>
      </c>
      <c r="CA34" s="117"/>
      <c r="CB34" s="117"/>
      <c r="CC34" s="117"/>
      <c r="CD34" s="117" t="s">
        <v>364</v>
      </c>
      <c r="CE34" s="117"/>
      <c r="CF34" s="117"/>
      <c r="CG34" s="117"/>
      <c r="CH34" s="117"/>
      <c r="CI34" s="117" t="s">
        <v>142</v>
      </c>
      <c r="CJ34" s="117" t="s">
        <v>142</v>
      </c>
      <c r="CK34" s="117" t="s">
        <v>142</v>
      </c>
      <c r="CL34" s="117">
        <v>5</v>
      </c>
      <c r="CM34" s="117">
        <v>0</v>
      </c>
      <c r="CN34" s="117" t="s">
        <v>142</v>
      </c>
      <c r="CO34" s="117" t="s">
        <v>144</v>
      </c>
      <c r="CP34" s="117">
        <v>4</v>
      </c>
      <c r="CQ34" s="117">
        <v>0</v>
      </c>
      <c r="CR34" s="117">
        <v>4</v>
      </c>
      <c r="CS34" s="117">
        <v>10</v>
      </c>
      <c r="CT34" s="117">
        <v>130</v>
      </c>
      <c r="CU34" s="117">
        <v>9</v>
      </c>
      <c r="CV34" s="117">
        <v>4</v>
      </c>
      <c r="CW34" s="117">
        <v>420</v>
      </c>
      <c r="CX34" s="117">
        <v>76</v>
      </c>
      <c r="CY34" s="117">
        <v>48</v>
      </c>
      <c r="CZ34" s="117">
        <v>5</v>
      </c>
      <c r="DA34" s="117">
        <v>0</v>
      </c>
      <c r="DB34" s="117">
        <v>0</v>
      </c>
      <c r="DC34" s="117">
        <v>2</v>
      </c>
      <c r="DD34" s="117">
        <v>6</v>
      </c>
      <c r="DE34" s="117">
        <v>5</v>
      </c>
      <c r="DF34" s="117">
        <v>2</v>
      </c>
      <c r="DG34" s="117">
        <v>20</v>
      </c>
      <c r="DH34" s="117">
        <v>5</v>
      </c>
      <c r="DI34" s="117">
        <v>3</v>
      </c>
      <c r="DJ34" s="117">
        <v>124</v>
      </c>
      <c r="DK34" s="117">
        <v>3</v>
      </c>
      <c r="DL34" s="117">
        <v>12</v>
      </c>
      <c r="DM34" s="117">
        <v>20960</v>
      </c>
      <c r="DN34" s="117">
        <v>2011</v>
      </c>
      <c r="DO34" s="117">
        <v>20960</v>
      </c>
      <c r="DP34" s="117">
        <v>7.2</v>
      </c>
      <c r="DQ34" s="117">
        <v>8</v>
      </c>
      <c r="DR34" s="117">
        <v>15.1</v>
      </c>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v>0</v>
      </c>
      <c r="ET34" s="117">
        <v>0</v>
      </c>
      <c r="EU34" s="117">
        <v>0</v>
      </c>
      <c r="EV34" s="117">
        <v>5</v>
      </c>
      <c r="EW34" s="117">
        <v>0</v>
      </c>
      <c r="EX34" s="117">
        <v>0</v>
      </c>
      <c r="EY34" s="117">
        <v>0</v>
      </c>
      <c r="EZ34" s="117">
        <v>2010</v>
      </c>
      <c r="FA34" s="117">
        <v>2010</v>
      </c>
      <c r="FB34" s="117">
        <v>20</v>
      </c>
      <c r="FC34" s="117">
        <v>288</v>
      </c>
      <c r="FD34" s="117" t="s">
        <v>352</v>
      </c>
    </row>
    <row r="35" spans="1:160" x14ac:dyDescent="0.25">
      <c r="A35" s="117">
        <v>12800880</v>
      </c>
      <c r="B35" s="117" t="s">
        <v>141</v>
      </c>
      <c r="C35" s="117" t="s">
        <v>141</v>
      </c>
      <c r="D35" s="117" t="s">
        <v>141</v>
      </c>
      <c r="E35" s="117" t="s">
        <v>141</v>
      </c>
      <c r="F35" s="117" t="s">
        <v>141</v>
      </c>
      <c r="G35" s="117" t="s">
        <v>141</v>
      </c>
      <c r="H35" s="117" t="s">
        <v>141</v>
      </c>
      <c r="I35" s="118">
        <v>41090</v>
      </c>
      <c r="J35" s="119">
        <v>0.41666666666666669</v>
      </c>
      <c r="K35" s="117"/>
      <c r="L35" s="117">
        <v>20</v>
      </c>
      <c r="M35" s="117">
        <v>1585</v>
      </c>
      <c r="N35" s="117" t="s">
        <v>142</v>
      </c>
      <c r="O35" s="117" t="s">
        <v>142</v>
      </c>
      <c r="P35" s="120">
        <v>29.125</v>
      </c>
      <c r="Q35" s="120">
        <v>-95.430999999999997</v>
      </c>
      <c r="R35" s="117">
        <v>15</v>
      </c>
      <c r="S35" s="117">
        <v>288</v>
      </c>
      <c r="T35" s="117"/>
      <c r="U35" s="117">
        <v>1</v>
      </c>
      <c r="V35" s="117"/>
      <c r="W35" s="117"/>
      <c r="X35" s="117" t="s">
        <v>352</v>
      </c>
      <c r="Y35" s="117"/>
      <c r="Z35" s="117" t="s">
        <v>141</v>
      </c>
      <c r="AA35" s="117" t="s">
        <v>141</v>
      </c>
      <c r="AB35" s="117">
        <v>45</v>
      </c>
      <c r="AC35" s="117" t="s">
        <v>141</v>
      </c>
      <c r="AD35" s="117" t="s">
        <v>141</v>
      </c>
      <c r="AE35" s="117" t="s">
        <v>141</v>
      </c>
      <c r="AF35" s="117">
        <v>15</v>
      </c>
      <c r="AG35" s="117">
        <v>220</v>
      </c>
      <c r="AH35" s="117"/>
      <c r="AI35" s="117"/>
      <c r="AJ35" s="117"/>
      <c r="AK35" s="117"/>
      <c r="AL35" s="117" t="s">
        <v>352</v>
      </c>
      <c r="AM35" s="117"/>
      <c r="AN35" s="117"/>
      <c r="AO35" s="117"/>
      <c r="AP35" s="117"/>
      <c r="AQ35" s="117"/>
      <c r="AR35" s="117"/>
      <c r="AS35" s="117">
        <v>2</v>
      </c>
      <c r="AT35" s="117">
        <v>3</v>
      </c>
      <c r="AU35" s="117">
        <v>4</v>
      </c>
      <c r="AV35" s="117"/>
      <c r="AW35" s="117">
        <v>1</v>
      </c>
      <c r="AX35" s="117">
        <v>2</v>
      </c>
      <c r="AY35" s="117">
        <v>8</v>
      </c>
      <c r="AZ35" s="117">
        <v>10000</v>
      </c>
      <c r="BA35" s="117">
        <v>8</v>
      </c>
      <c r="BB35" s="117">
        <v>7</v>
      </c>
      <c r="BC35" s="117">
        <v>4</v>
      </c>
      <c r="BD35" s="117">
        <v>1</v>
      </c>
      <c r="BE35" s="117">
        <v>20</v>
      </c>
      <c r="BF35" s="117">
        <v>54</v>
      </c>
      <c r="BG35" s="117">
        <v>1</v>
      </c>
      <c r="BH35" s="117">
        <v>4</v>
      </c>
      <c r="BI35" s="117">
        <v>2</v>
      </c>
      <c r="BJ35" s="117">
        <v>21</v>
      </c>
      <c r="BK35" s="117">
        <v>21</v>
      </c>
      <c r="BL35" s="117">
        <v>20</v>
      </c>
      <c r="BM35" s="117">
        <v>1585</v>
      </c>
      <c r="BN35" s="117"/>
      <c r="BO35" s="117"/>
      <c r="BP35" s="117"/>
      <c r="BQ35" s="117"/>
      <c r="BR35" s="117"/>
      <c r="BS35" s="117"/>
      <c r="BT35" s="117" t="s">
        <v>365</v>
      </c>
      <c r="BU35" s="117"/>
      <c r="BV35" s="117"/>
      <c r="BW35" s="117"/>
      <c r="BX35" s="117"/>
      <c r="BY35" s="117"/>
      <c r="BZ35" s="117"/>
      <c r="CA35" s="117"/>
      <c r="CB35" s="117"/>
      <c r="CC35" s="117"/>
      <c r="CD35" s="117" t="s">
        <v>329</v>
      </c>
      <c r="CE35" s="117"/>
      <c r="CF35" s="117"/>
      <c r="CG35" s="117"/>
      <c r="CH35" s="117"/>
      <c r="CI35" s="117" t="s">
        <v>142</v>
      </c>
      <c r="CJ35" s="117" t="s">
        <v>141</v>
      </c>
      <c r="CK35" s="117" t="s">
        <v>142</v>
      </c>
      <c r="CL35" s="117">
        <v>5</v>
      </c>
      <c r="CM35" s="117">
        <v>0</v>
      </c>
      <c r="CN35" s="117" t="s">
        <v>141</v>
      </c>
      <c r="CO35" s="117" t="s">
        <v>144</v>
      </c>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c r="EO35" s="117"/>
      <c r="EP35" s="117"/>
      <c r="EQ35" s="117"/>
      <c r="ER35" s="117"/>
      <c r="ES35" s="117">
        <v>0</v>
      </c>
      <c r="ET35" s="117">
        <v>0</v>
      </c>
      <c r="EU35" s="117">
        <v>0</v>
      </c>
      <c r="EV35" s="117">
        <v>1</v>
      </c>
      <c r="EW35" s="117">
        <v>0</v>
      </c>
      <c r="EX35" s="117">
        <v>0</v>
      </c>
      <c r="EY35" s="117">
        <v>0</v>
      </c>
      <c r="EZ35" s="117">
        <v>2012</v>
      </c>
      <c r="FA35" s="117">
        <v>2012</v>
      </c>
      <c r="FB35" s="117">
        <v>20</v>
      </c>
      <c r="FC35" s="117">
        <v>288</v>
      </c>
      <c r="FD35" s="117" t="s">
        <v>352</v>
      </c>
    </row>
    <row r="36" spans="1:160" x14ac:dyDescent="0.25">
      <c r="A36">
        <v>11574846</v>
      </c>
      <c r="B36" t="s">
        <v>141</v>
      </c>
      <c r="C36" t="s">
        <v>141</v>
      </c>
      <c r="D36" t="s">
        <v>141</v>
      </c>
      <c r="E36" t="s">
        <v>141</v>
      </c>
      <c r="F36" t="s">
        <v>141</v>
      </c>
      <c r="G36" t="s">
        <v>141</v>
      </c>
      <c r="H36" t="s">
        <v>141</v>
      </c>
      <c r="I36" s="99">
        <v>40388</v>
      </c>
      <c r="J36" s="98">
        <v>0.4861111111111111</v>
      </c>
      <c r="L36">
        <v>20</v>
      </c>
      <c r="M36">
        <v>1585</v>
      </c>
      <c r="N36" t="s">
        <v>142</v>
      </c>
      <c r="O36" t="s">
        <v>142</v>
      </c>
      <c r="P36">
        <v>29.124479999999998</v>
      </c>
      <c r="Q36">
        <v>-95.430419999999998</v>
      </c>
      <c r="R36">
        <v>15</v>
      </c>
      <c r="S36">
        <v>220</v>
      </c>
      <c r="U36">
        <v>1</v>
      </c>
      <c r="X36" t="s">
        <v>352</v>
      </c>
      <c r="Z36" t="s">
        <v>141</v>
      </c>
      <c r="AA36" t="s">
        <v>141</v>
      </c>
      <c r="AB36">
        <v>45</v>
      </c>
      <c r="AC36" t="s">
        <v>141</v>
      </c>
      <c r="AD36" t="s">
        <v>141</v>
      </c>
      <c r="AE36" t="s">
        <v>142</v>
      </c>
      <c r="AF36">
        <v>15</v>
      </c>
      <c r="AG36">
        <v>288</v>
      </c>
      <c r="AI36">
        <v>1</v>
      </c>
      <c r="AL36" t="s">
        <v>352</v>
      </c>
      <c r="AS36">
        <v>11</v>
      </c>
      <c r="AT36">
        <v>3</v>
      </c>
      <c r="AU36">
        <v>0</v>
      </c>
      <c r="AW36">
        <v>1</v>
      </c>
      <c r="AX36">
        <v>1</v>
      </c>
      <c r="AY36">
        <v>8</v>
      </c>
      <c r="AZ36">
        <v>10000</v>
      </c>
      <c r="BA36">
        <v>8</v>
      </c>
      <c r="BB36">
        <v>2</v>
      </c>
      <c r="BC36">
        <v>1</v>
      </c>
      <c r="BD36">
        <v>34</v>
      </c>
      <c r="BE36">
        <v>64</v>
      </c>
      <c r="BF36">
        <v>54</v>
      </c>
      <c r="BG36">
        <v>1</v>
      </c>
      <c r="BH36">
        <v>4</v>
      </c>
      <c r="BI36">
        <v>1</v>
      </c>
      <c r="BJ36">
        <v>21</v>
      </c>
      <c r="BK36">
        <v>21</v>
      </c>
      <c r="BL36">
        <v>20</v>
      </c>
      <c r="BM36">
        <v>1585</v>
      </c>
      <c r="BN36">
        <v>29.124442999999999</v>
      </c>
      <c r="BO36">
        <v>-95.430443999999994</v>
      </c>
      <c r="BT36" t="s">
        <v>366</v>
      </c>
      <c r="CD36" t="s">
        <v>355</v>
      </c>
      <c r="CI36" t="s">
        <v>142</v>
      </c>
      <c r="CJ36" t="s">
        <v>141</v>
      </c>
      <c r="CK36" t="s">
        <v>142</v>
      </c>
      <c r="CL36">
        <v>3</v>
      </c>
      <c r="CM36">
        <v>0</v>
      </c>
      <c r="CN36" t="s">
        <v>142</v>
      </c>
      <c r="CO36" t="s">
        <v>339</v>
      </c>
      <c r="ES36">
        <v>0</v>
      </c>
      <c r="ET36">
        <v>0</v>
      </c>
      <c r="EU36">
        <v>1</v>
      </c>
      <c r="EV36">
        <v>3</v>
      </c>
      <c r="EW36">
        <v>0</v>
      </c>
      <c r="EX36">
        <v>1</v>
      </c>
      <c r="EY36">
        <v>0</v>
      </c>
      <c r="EZ36">
        <v>2010</v>
      </c>
      <c r="FA36">
        <v>20</v>
      </c>
      <c r="FB36">
        <v>2010</v>
      </c>
    </row>
    <row r="37" spans="1:160" x14ac:dyDescent="0.25">
      <c r="A37">
        <v>11575211</v>
      </c>
      <c r="B37" t="s">
        <v>141</v>
      </c>
      <c r="C37" t="s">
        <v>141</v>
      </c>
      <c r="D37" t="s">
        <v>141</v>
      </c>
      <c r="E37" t="s">
        <v>142</v>
      </c>
      <c r="F37" t="s">
        <v>141</v>
      </c>
      <c r="G37" t="s">
        <v>142</v>
      </c>
      <c r="H37" t="s">
        <v>141</v>
      </c>
      <c r="I37" s="99">
        <v>40250</v>
      </c>
      <c r="J37" s="98">
        <v>0.71458333333333324</v>
      </c>
      <c r="L37">
        <v>20</v>
      </c>
      <c r="M37">
        <v>1585</v>
      </c>
      <c r="N37" t="s">
        <v>142</v>
      </c>
      <c r="O37" t="s">
        <v>142</v>
      </c>
      <c r="P37">
        <v>29.124459999999999</v>
      </c>
      <c r="Q37">
        <v>-95.430909999999997</v>
      </c>
      <c r="R37">
        <v>15</v>
      </c>
      <c r="S37">
        <v>220</v>
      </c>
      <c r="U37">
        <v>1</v>
      </c>
      <c r="X37" t="s">
        <v>352</v>
      </c>
      <c r="Z37" t="s">
        <v>141</v>
      </c>
      <c r="AA37" t="s">
        <v>141</v>
      </c>
      <c r="AB37">
        <v>45</v>
      </c>
      <c r="AC37" t="s">
        <v>141</v>
      </c>
      <c r="AD37" t="s">
        <v>141</v>
      </c>
      <c r="AE37" t="s">
        <v>141</v>
      </c>
      <c r="AF37">
        <v>15</v>
      </c>
      <c r="AG37">
        <v>288</v>
      </c>
      <c r="AL37" t="s">
        <v>352</v>
      </c>
      <c r="AS37">
        <v>11</v>
      </c>
      <c r="AT37">
        <v>1</v>
      </c>
      <c r="AU37">
        <v>0</v>
      </c>
      <c r="AW37">
        <v>1</v>
      </c>
      <c r="AX37">
        <v>1</v>
      </c>
      <c r="AY37">
        <v>13</v>
      </c>
      <c r="AZ37">
        <v>10000</v>
      </c>
      <c r="BA37">
        <v>8</v>
      </c>
      <c r="BB37">
        <v>2</v>
      </c>
      <c r="BC37">
        <v>2</v>
      </c>
      <c r="BD37">
        <v>22</v>
      </c>
      <c r="BE37">
        <v>64</v>
      </c>
      <c r="BF37">
        <v>38</v>
      </c>
      <c r="BG37">
        <v>1</v>
      </c>
      <c r="BH37">
        <v>4</v>
      </c>
      <c r="BI37">
        <v>1</v>
      </c>
      <c r="BJ37">
        <v>17</v>
      </c>
      <c r="BK37">
        <v>21</v>
      </c>
      <c r="BL37">
        <v>20</v>
      </c>
      <c r="BM37">
        <v>1585</v>
      </c>
      <c r="BN37">
        <v>29.124441019999999</v>
      </c>
      <c r="BO37">
        <v>-95.430909929999999</v>
      </c>
      <c r="BT37" t="s">
        <v>366</v>
      </c>
      <c r="BU37">
        <v>2094</v>
      </c>
      <c r="CD37" t="s">
        <v>355</v>
      </c>
      <c r="CI37" t="s">
        <v>142</v>
      </c>
      <c r="CJ37" t="s">
        <v>141</v>
      </c>
      <c r="CK37" t="s">
        <v>142</v>
      </c>
      <c r="CL37">
        <v>2</v>
      </c>
      <c r="CM37">
        <v>0</v>
      </c>
      <c r="CN37" t="s">
        <v>142</v>
      </c>
      <c r="CO37" t="s">
        <v>144</v>
      </c>
      <c r="ES37">
        <v>0</v>
      </c>
      <c r="ET37">
        <v>1</v>
      </c>
      <c r="EU37">
        <v>0</v>
      </c>
      <c r="EV37">
        <v>5</v>
      </c>
      <c r="EW37">
        <v>0</v>
      </c>
      <c r="EX37">
        <v>1</v>
      </c>
      <c r="EY37">
        <v>0</v>
      </c>
      <c r="EZ37">
        <v>2010</v>
      </c>
      <c r="FA37">
        <v>20</v>
      </c>
      <c r="FB37">
        <v>2010</v>
      </c>
    </row>
    <row r="38" spans="1:160" x14ac:dyDescent="0.25">
      <c r="A38" s="121">
        <v>11679397</v>
      </c>
      <c r="B38" s="122" t="s">
        <v>141</v>
      </c>
      <c r="C38" s="122" t="s">
        <v>141</v>
      </c>
      <c r="D38" s="122" t="s">
        <v>141</v>
      </c>
      <c r="E38" s="122" t="s">
        <v>141</v>
      </c>
      <c r="F38" s="122" t="s">
        <v>141</v>
      </c>
      <c r="G38" s="122" t="s">
        <v>141</v>
      </c>
      <c r="H38" s="122" t="s">
        <v>141</v>
      </c>
      <c r="I38" s="118">
        <v>40428</v>
      </c>
      <c r="J38" s="123">
        <v>0.51388888888888895</v>
      </c>
      <c r="K38" s="122"/>
      <c r="L38" s="121">
        <v>20</v>
      </c>
      <c r="M38" s="121">
        <v>1585</v>
      </c>
      <c r="N38" s="122" t="s">
        <v>142</v>
      </c>
      <c r="O38" s="122" t="s">
        <v>142</v>
      </c>
      <c r="P38" s="120">
        <v>29.089649999999999</v>
      </c>
      <c r="Q38" s="120">
        <v>-95.428529999999995</v>
      </c>
      <c r="R38" s="121">
        <v>15</v>
      </c>
      <c r="S38" s="121">
        <v>288</v>
      </c>
      <c r="T38" s="121"/>
      <c r="U38" s="121">
        <v>1</v>
      </c>
      <c r="V38" s="122"/>
      <c r="W38" s="122"/>
      <c r="X38" s="122" t="s">
        <v>352</v>
      </c>
      <c r="Y38" s="122"/>
      <c r="Z38" s="122" t="s">
        <v>141</v>
      </c>
      <c r="AA38" s="122" t="s">
        <v>141</v>
      </c>
      <c r="AB38" s="121">
        <v>45</v>
      </c>
      <c r="AC38" s="122" t="s">
        <v>141</v>
      </c>
      <c r="AD38" s="122" t="s">
        <v>141</v>
      </c>
      <c r="AE38" s="122" t="s">
        <v>141</v>
      </c>
      <c r="AF38" s="121">
        <v>17</v>
      </c>
      <c r="AG38" s="121"/>
      <c r="AH38" s="121"/>
      <c r="AI38" s="121"/>
      <c r="AJ38" s="122"/>
      <c r="AK38" s="122"/>
      <c r="AL38" s="122" t="s">
        <v>367</v>
      </c>
      <c r="AM38" s="122"/>
      <c r="AN38" s="122"/>
      <c r="AO38" s="122"/>
      <c r="AP38" s="122"/>
      <c r="AQ38" s="122"/>
      <c r="AR38" s="122"/>
      <c r="AS38" s="121">
        <v>2</v>
      </c>
      <c r="AT38" s="121">
        <v>1</v>
      </c>
      <c r="AU38" s="121">
        <v>0</v>
      </c>
      <c r="AV38" s="121"/>
      <c r="AW38" s="121">
        <v>1</v>
      </c>
      <c r="AX38" s="121">
        <v>2</v>
      </c>
      <c r="AY38" s="121">
        <v>11</v>
      </c>
      <c r="AZ38" s="121">
        <v>10000</v>
      </c>
      <c r="BA38" s="121">
        <v>8</v>
      </c>
      <c r="BB38" s="121">
        <v>7</v>
      </c>
      <c r="BC38" s="121">
        <v>4</v>
      </c>
      <c r="BD38" s="121">
        <v>1</v>
      </c>
      <c r="BE38" s="121">
        <v>33</v>
      </c>
      <c r="BF38" s="121">
        <v>54</v>
      </c>
      <c r="BG38" s="121">
        <v>1</v>
      </c>
      <c r="BH38" s="121">
        <v>4</v>
      </c>
      <c r="BI38" s="121">
        <v>2</v>
      </c>
      <c r="BJ38" s="121">
        <v>21</v>
      </c>
      <c r="BK38" s="121">
        <v>21</v>
      </c>
      <c r="BL38" s="121">
        <v>20</v>
      </c>
      <c r="BM38" s="121">
        <v>1585</v>
      </c>
      <c r="BN38" s="124">
        <v>29.089649829999999</v>
      </c>
      <c r="BO38" s="124">
        <v>-95.428532489999995</v>
      </c>
      <c r="BP38" s="122"/>
      <c r="BQ38" s="121"/>
      <c r="BR38" s="122"/>
      <c r="BS38" s="122"/>
      <c r="BT38" s="122" t="s">
        <v>359</v>
      </c>
      <c r="BU38" s="121">
        <v>5047</v>
      </c>
      <c r="BV38" s="121"/>
      <c r="BW38" s="121"/>
      <c r="BX38" s="122"/>
      <c r="BY38" s="121"/>
      <c r="BZ38" s="122"/>
      <c r="CA38" s="122"/>
      <c r="CB38" s="122"/>
      <c r="CC38" s="122"/>
      <c r="CD38" s="122" t="s">
        <v>329</v>
      </c>
      <c r="CE38" s="122"/>
      <c r="CF38" s="122"/>
      <c r="CG38" s="122"/>
      <c r="CH38" s="122"/>
      <c r="CI38" s="122" t="s">
        <v>142</v>
      </c>
      <c r="CJ38" s="122" t="s">
        <v>141</v>
      </c>
      <c r="CK38" s="122" t="s">
        <v>142</v>
      </c>
      <c r="CL38" s="121">
        <v>2</v>
      </c>
      <c r="CM38" s="121">
        <v>0</v>
      </c>
      <c r="CN38" s="122" t="s">
        <v>142</v>
      </c>
      <c r="CO38" s="122" t="s">
        <v>346</v>
      </c>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2"/>
      <c r="DQ38" s="122"/>
      <c r="DR38" s="122"/>
      <c r="DS38" s="122"/>
      <c r="DT38" s="122"/>
      <c r="DU38" s="122"/>
      <c r="DV38" s="122"/>
      <c r="DW38" s="122"/>
      <c r="DX38" s="122"/>
      <c r="DY38" s="122"/>
      <c r="DZ38" s="122"/>
      <c r="EA38" s="122"/>
      <c r="EB38" s="122"/>
      <c r="EC38" s="122"/>
      <c r="ED38" s="122"/>
      <c r="EE38" s="122"/>
      <c r="EF38" s="122"/>
      <c r="EG38" s="122"/>
      <c r="EH38" s="122"/>
      <c r="EI38" s="122"/>
      <c r="EJ38" s="122"/>
      <c r="EK38" s="122"/>
      <c r="EL38" s="122"/>
      <c r="EM38" s="122"/>
      <c r="EN38" s="122"/>
      <c r="EO38" s="122"/>
      <c r="EP38" s="122"/>
      <c r="EQ38" s="122"/>
      <c r="ER38" s="122"/>
      <c r="ES38" s="121">
        <v>0</v>
      </c>
      <c r="ET38" s="121">
        <v>1</v>
      </c>
      <c r="EU38" s="121">
        <v>0</v>
      </c>
      <c r="EV38" s="121">
        <v>0</v>
      </c>
      <c r="EW38" s="121">
        <v>0</v>
      </c>
      <c r="EX38" s="121">
        <v>1</v>
      </c>
      <c r="EY38" s="121">
        <v>0</v>
      </c>
      <c r="EZ38" s="121">
        <v>2010</v>
      </c>
      <c r="FA38" s="121">
        <v>2010</v>
      </c>
      <c r="FB38" s="121">
        <v>20</v>
      </c>
      <c r="FC38" s="121">
        <v>288</v>
      </c>
      <c r="FD38" s="122" t="s">
        <v>352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S36"/>
  <sheetViews>
    <sheetView zoomScale="85" zoomScaleNormal="85" workbookViewId="0">
      <selection activeCell="S3" sqref="S3:S36"/>
    </sheetView>
  </sheetViews>
  <sheetFormatPr defaultRowHeight="15" x14ac:dyDescent="0.25"/>
  <cols>
    <col min="1" max="1" width="35" customWidth="1"/>
    <col min="2" max="2" width="12.5703125" customWidth="1"/>
    <col min="3" max="3" width="5.28515625" customWidth="1"/>
    <col min="4" max="4" width="25.5703125" customWidth="1"/>
    <col min="5" max="5" width="15.42578125" bestFit="1" customWidth="1"/>
    <col min="6" max="11" width="15.42578125" customWidth="1"/>
    <col min="12" max="12" width="4.5703125" customWidth="1"/>
    <col min="13" max="13" width="9.28515625" bestFit="1" customWidth="1"/>
    <col min="14" max="14" width="16.7109375" style="3" customWidth="1"/>
    <col min="15" max="15" width="16.85546875" style="81" bestFit="1" customWidth="1"/>
    <col min="16" max="16" width="11.42578125" style="84" bestFit="1" customWidth="1"/>
    <col min="17" max="17" width="34.42578125" bestFit="1" customWidth="1"/>
    <col min="18" max="18" width="18.7109375" customWidth="1"/>
    <col min="19" max="19" width="38.42578125" bestFit="1" customWidth="1"/>
  </cols>
  <sheetData>
    <row r="3" spans="1:19" x14ac:dyDescent="0.25">
      <c r="A3" s="22" t="s">
        <v>14</v>
      </c>
      <c r="D3" s="22" t="s">
        <v>28</v>
      </c>
      <c r="E3" s="32"/>
      <c r="M3" s="21" t="s">
        <v>26</v>
      </c>
      <c r="N3" s="77" t="s">
        <v>126</v>
      </c>
      <c r="O3" s="79" t="s">
        <v>27</v>
      </c>
      <c r="P3" s="82" t="s">
        <v>129</v>
      </c>
      <c r="Q3" s="21" t="s">
        <v>317</v>
      </c>
      <c r="R3" s="21" t="s">
        <v>125</v>
      </c>
      <c r="S3" s="21" t="s">
        <v>88</v>
      </c>
    </row>
    <row r="4" spans="1:19" x14ac:dyDescent="0.25">
      <c r="A4" s="23" t="s">
        <v>15</v>
      </c>
      <c r="B4" s="34">
        <v>2015</v>
      </c>
      <c r="D4" s="26" t="s">
        <v>116</v>
      </c>
      <c r="E4" s="64">
        <f>(_2025_Volume/_2018_Volume)^(1/(2025-2018))-1</f>
        <v>0</v>
      </c>
      <c r="M4" s="86">
        <v>2018</v>
      </c>
      <c r="N4" s="87" t="s">
        <v>131</v>
      </c>
      <c r="O4" s="88">
        <f>MIN(E7,1)</f>
        <v>4.1025641025641026E-2</v>
      </c>
      <c r="P4" s="89">
        <f>-(ROUNDUP(O4,0)-2)</f>
        <v>1</v>
      </c>
      <c r="Q4" s="109">
        <f>SUMPRODUCT(Possible_Crash_Reductions,Value_of_Statistical_Life_2015)</f>
        <v>116720.71291448703</v>
      </c>
      <c r="R4" s="94">
        <f t="shared" ref="R4:R36" si="0">IF(AND(M4&gt;=Year_Open_to_Traffic?,M4&lt;Year_Open_to_Traffic?+Years_to_include_in_BCA_Analysis),1,0)</f>
        <v>1</v>
      </c>
      <c r="S4" s="85">
        <f>(Q4*R4)/10^3</f>
        <v>116.72071291448702</v>
      </c>
    </row>
    <row r="5" spans="1:19" x14ac:dyDescent="0.25">
      <c r="A5" s="23" t="s">
        <v>89</v>
      </c>
      <c r="B5" s="23">
        <f>MIN(20,Service_Life)</f>
        <v>10</v>
      </c>
      <c r="D5" s="26" t="s">
        <v>117</v>
      </c>
      <c r="E5" s="64">
        <f>(_2040_Volume/_2025_Volume)^(1/(2040-2025))-1</f>
        <v>4.7294122820626727E-2</v>
      </c>
      <c r="M5" s="20">
        <f t="shared" ref="M5:M36" si="1">M4+1</f>
        <v>2019</v>
      </c>
      <c r="N5" s="78">
        <f t="shared" ref="N5:N11" si="2">IF(ISERROR(_2025_2040_Demand_Growth),_2018_2040_Demand_Growth,_2018_2025_Demand_Growth)</f>
        <v>0</v>
      </c>
      <c r="O5" s="80">
        <f t="shared" ref="O5:O11" si="3">O4*(1+IFERROR(_2018_2025_V_C_Growth,_2018_2040_V_C_Growth))</f>
        <v>4.1025641025641026E-2</v>
      </c>
      <c r="P5" s="83">
        <f t="shared" ref="P5:P36" si="4">-(ROUNDUP(O5,0)-2)</f>
        <v>1</v>
      </c>
      <c r="Q5" s="109">
        <f>Q4*(1+N5*P5)</f>
        <v>116720.71291448703</v>
      </c>
      <c r="R5" s="94">
        <f t="shared" si="0"/>
        <v>1</v>
      </c>
      <c r="S5" s="85">
        <f t="shared" ref="S5:S36" si="5">(Q5*R5)/10^3</f>
        <v>116.72071291448702</v>
      </c>
    </row>
    <row r="6" spans="1:19" x14ac:dyDescent="0.25">
      <c r="D6" s="26" t="s">
        <v>121</v>
      </c>
      <c r="E6" s="64">
        <f>(_2040_Volume/_2018_Volume)^(1/(2040-2018))-1</f>
        <v>3.200827973420961E-2</v>
      </c>
      <c r="M6" s="86">
        <f t="shared" si="1"/>
        <v>2020</v>
      </c>
      <c r="N6" s="78">
        <f t="shared" si="2"/>
        <v>0</v>
      </c>
      <c r="O6" s="80">
        <f t="shared" si="3"/>
        <v>4.1025641025641026E-2</v>
      </c>
      <c r="P6" s="83">
        <f t="shared" si="4"/>
        <v>1</v>
      </c>
      <c r="Q6" s="109">
        <f t="shared" ref="Q6:Q29" si="6">Q5*(1+N6*P6)</f>
        <v>116720.71291448703</v>
      </c>
      <c r="R6" s="94">
        <f t="shared" si="0"/>
        <v>1</v>
      </c>
      <c r="S6" s="85">
        <f t="shared" si="5"/>
        <v>116.72071291448702</v>
      </c>
    </row>
    <row r="7" spans="1:19" x14ac:dyDescent="0.25">
      <c r="D7" s="26" t="s">
        <v>115</v>
      </c>
      <c r="E7" s="28">
        <f>_2018_Volume/_2018_Capacity</f>
        <v>4.1025641025641026E-2</v>
      </c>
      <c r="M7" s="20">
        <f t="shared" si="1"/>
        <v>2021</v>
      </c>
      <c r="N7" s="78">
        <f t="shared" si="2"/>
        <v>0</v>
      </c>
      <c r="O7" s="80">
        <f t="shared" si="3"/>
        <v>4.1025641025641026E-2</v>
      </c>
      <c r="P7" s="83">
        <f t="shared" si="4"/>
        <v>1</v>
      </c>
      <c r="Q7" s="109">
        <f t="shared" si="6"/>
        <v>116720.71291448703</v>
      </c>
      <c r="R7" s="94">
        <f t="shared" si="0"/>
        <v>1</v>
      </c>
      <c r="S7" s="85">
        <f t="shared" si="5"/>
        <v>116.72071291448702</v>
      </c>
    </row>
    <row r="8" spans="1:19" x14ac:dyDescent="0.25">
      <c r="D8" s="26" t="s">
        <v>114</v>
      </c>
      <c r="E8" s="28">
        <f>_2025_Volume/_2025_Capacity</f>
        <v>4.1025641025641026E-2</v>
      </c>
      <c r="M8" s="86">
        <f t="shared" si="1"/>
        <v>2022</v>
      </c>
      <c r="N8" s="78">
        <f t="shared" si="2"/>
        <v>0</v>
      </c>
      <c r="O8" s="80">
        <f t="shared" si="3"/>
        <v>4.1025641025641026E-2</v>
      </c>
      <c r="P8" s="83">
        <f t="shared" si="4"/>
        <v>1</v>
      </c>
      <c r="Q8" s="109">
        <f t="shared" si="6"/>
        <v>116720.71291448703</v>
      </c>
      <c r="R8" s="94">
        <f t="shared" si="0"/>
        <v>1</v>
      </c>
      <c r="S8" s="85">
        <f t="shared" si="5"/>
        <v>116.72071291448702</v>
      </c>
    </row>
    <row r="9" spans="1:19" x14ac:dyDescent="0.25">
      <c r="D9" s="26" t="s">
        <v>90</v>
      </c>
      <c r="E9" s="28">
        <f>_2040_Volume/_2040_Capacity</f>
        <v>8.2051282051282051E-2</v>
      </c>
      <c r="M9" s="20">
        <f t="shared" si="1"/>
        <v>2023</v>
      </c>
      <c r="N9" s="78">
        <f t="shared" si="2"/>
        <v>0</v>
      </c>
      <c r="O9" s="80">
        <f t="shared" si="3"/>
        <v>4.1025641025641026E-2</v>
      </c>
      <c r="P9" s="83">
        <f t="shared" si="4"/>
        <v>1</v>
      </c>
      <c r="Q9" s="109">
        <f t="shared" si="6"/>
        <v>116720.71291448703</v>
      </c>
      <c r="R9" s="94">
        <f t="shared" si="0"/>
        <v>1</v>
      </c>
      <c r="S9" s="85">
        <f t="shared" si="5"/>
        <v>116.72071291448702</v>
      </c>
    </row>
    <row r="10" spans="1:19" x14ac:dyDescent="0.25">
      <c r="D10" s="26" t="s">
        <v>122</v>
      </c>
      <c r="E10" s="64">
        <f>(E8/E7)^(1/(2025-2018))-1</f>
        <v>0</v>
      </c>
      <c r="M10" s="86">
        <f t="shared" si="1"/>
        <v>2024</v>
      </c>
      <c r="N10" s="78">
        <f t="shared" si="2"/>
        <v>0</v>
      </c>
      <c r="O10" s="80">
        <f t="shared" si="3"/>
        <v>4.1025641025641026E-2</v>
      </c>
      <c r="P10" s="83">
        <f t="shared" si="4"/>
        <v>1</v>
      </c>
      <c r="Q10" s="109">
        <f t="shared" si="6"/>
        <v>116720.71291448703</v>
      </c>
      <c r="R10" s="94">
        <f t="shared" si="0"/>
        <v>1</v>
      </c>
      <c r="S10" s="85">
        <f t="shared" si="5"/>
        <v>116.72071291448702</v>
      </c>
    </row>
    <row r="11" spans="1:19" x14ac:dyDescent="0.25">
      <c r="D11" s="26" t="s">
        <v>123</v>
      </c>
      <c r="E11" s="64">
        <f>(E9/E8)^(1/(2040-2025))-1</f>
        <v>4.7294122820626727E-2</v>
      </c>
      <c r="M11" s="20">
        <f t="shared" si="1"/>
        <v>2025</v>
      </c>
      <c r="N11" s="78">
        <f t="shared" si="2"/>
        <v>0</v>
      </c>
      <c r="O11" s="80">
        <f t="shared" si="3"/>
        <v>4.1025641025641026E-2</v>
      </c>
      <c r="P11" s="83">
        <f t="shared" si="4"/>
        <v>1</v>
      </c>
      <c r="Q11" s="109">
        <f t="shared" si="6"/>
        <v>116720.71291448703</v>
      </c>
      <c r="R11" s="94">
        <f t="shared" si="0"/>
        <v>1</v>
      </c>
      <c r="S11" s="85">
        <f t="shared" si="5"/>
        <v>116.72071291448702</v>
      </c>
    </row>
    <row r="12" spans="1:19" x14ac:dyDescent="0.25">
      <c r="D12" s="26" t="s">
        <v>124</v>
      </c>
      <c r="E12" s="64">
        <f>(E9/E7)^(1/(2040-2018))-1</f>
        <v>3.200827973420961E-2</v>
      </c>
      <c r="M12" s="86">
        <f t="shared" si="1"/>
        <v>2026</v>
      </c>
      <c r="N12" s="78">
        <f t="shared" ref="N12:N36" si="7">IFERROR(_2025_2040_Demand_Growth,_2018_2040_Demand_Growth)</f>
        <v>4.7294122820626727E-2</v>
      </c>
      <c r="O12" s="80">
        <f t="shared" ref="O12:O36" si="8">O11*(1+IFERROR(_2025_2040_V_C_Growth,_2018_2040_V_C_Growth))</f>
        <v>4.2965912731102632E-2</v>
      </c>
      <c r="P12" s="83">
        <f t="shared" si="4"/>
        <v>1</v>
      </c>
      <c r="Q12" s="109">
        <f t="shared" si="6"/>
        <v>122240.91664677589</v>
      </c>
      <c r="R12" s="94">
        <f t="shared" si="0"/>
        <v>1</v>
      </c>
      <c r="S12" s="85">
        <f t="shared" si="5"/>
        <v>122.24091664677589</v>
      </c>
    </row>
    <row r="13" spans="1:19" x14ac:dyDescent="0.25">
      <c r="M13" s="20">
        <f t="shared" si="1"/>
        <v>2027</v>
      </c>
      <c r="N13" s="78">
        <f t="shared" si="7"/>
        <v>4.7294122820626727E-2</v>
      </c>
      <c r="O13" s="80">
        <f t="shared" si="8"/>
        <v>4.4997947884907727E-2</v>
      </c>
      <c r="P13" s="83">
        <f t="shared" si="4"/>
        <v>1</v>
      </c>
      <c r="Q13" s="109">
        <f t="shared" si="6"/>
        <v>128022.19357237451</v>
      </c>
      <c r="R13" s="94">
        <f t="shared" si="0"/>
        <v>1</v>
      </c>
      <c r="S13" s="85">
        <f t="shared" si="5"/>
        <v>128.0221935723745</v>
      </c>
    </row>
    <row r="14" spans="1:19" x14ac:dyDescent="0.25">
      <c r="M14" s="86">
        <f>M13+1</f>
        <v>2028</v>
      </c>
      <c r="N14" s="78">
        <f t="shared" si="7"/>
        <v>4.7294122820626727E-2</v>
      </c>
      <c r="O14" s="80">
        <f>O13*(1+IFERROR(_2025_2040_V_C_Growth,_2018_2040_V_C_Growth))</f>
        <v>4.7126086358852716E-2</v>
      </c>
      <c r="P14" s="83">
        <f t="shared" si="4"/>
        <v>1</v>
      </c>
      <c r="Q14" s="109">
        <f>Q13*(1+N14*P14)</f>
        <v>134076.89091895244</v>
      </c>
      <c r="R14" s="94">
        <f t="shared" si="0"/>
        <v>0</v>
      </c>
      <c r="S14" s="85">
        <f t="shared" si="5"/>
        <v>0</v>
      </c>
    </row>
    <row r="15" spans="1:19" x14ac:dyDescent="0.25">
      <c r="A15" s="127" t="s">
        <v>315</v>
      </c>
      <c r="B15" s="127"/>
      <c r="D15" s="72" t="s">
        <v>145</v>
      </c>
      <c r="E15" s="72" t="s">
        <v>151</v>
      </c>
      <c r="F15" s="72" t="s">
        <v>150</v>
      </c>
      <c r="G15" s="72" t="s">
        <v>149</v>
      </c>
      <c r="H15" s="72" t="s">
        <v>148</v>
      </c>
      <c r="I15" s="72" t="s">
        <v>147</v>
      </c>
      <c r="J15" s="128" t="s">
        <v>316</v>
      </c>
      <c r="M15" s="20">
        <f>M14+1</f>
        <v>2029</v>
      </c>
      <c r="N15" s="78">
        <f t="shared" si="7"/>
        <v>4.7294122820626727E-2</v>
      </c>
      <c r="O15" s="80">
        <f>O14*(1+IFERROR(_2025_2040_V_C_Growth,_2018_2040_V_C_Growth))</f>
        <v>4.935487327516376E-2</v>
      </c>
      <c r="P15" s="83">
        <f t="shared" si="4"/>
        <v>1</v>
      </c>
      <c r="Q15" s="109">
        <f>Q14*(1+N15*P15)</f>
        <v>140417.93986548114</v>
      </c>
      <c r="R15" s="94">
        <f t="shared" si="0"/>
        <v>0</v>
      </c>
      <c r="S15" s="85">
        <f t="shared" si="5"/>
        <v>0</v>
      </c>
    </row>
    <row r="16" spans="1:19" x14ac:dyDescent="0.25">
      <c r="A16" s="127"/>
      <c r="B16" s="127"/>
      <c r="D16" s="106">
        <f>Avg_Death_Cnt</f>
        <v>0</v>
      </c>
      <c r="E16" s="106">
        <f>Avg_Incap_Injry_Cnt</f>
        <v>0</v>
      </c>
      <c r="F16" s="106">
        <f>Avg_Nonincap_Injry_Cnt</f>
        <v>0.66666666666666663</v>
      </c>
      <c r="G16" s="106">
        <f>Avg_Poss_Injry_Cnt</f>
        <v>1.3333333333333333</v>
      </c>
      <c r="H16" s="106">
        <f>Avg_Non_Injry_Cnt</f>
        <v>10.666666666666666</v>
      </c>
      <c r="I16" s="106">
        <f>Avg_Unkn_Injry_Cnt</f>
        <v>2</v>
      </c>
      <c r="J16" s="128"/>
      <c r="M16" s="86">
        <f t="shared" si="1"/>
        <v>2030</v>
      </c>
      <c r="N16" s="78">
        <f t="shared" si="7"/>
        <v>4.7294122820626727E-2</v>
      </c>
      <c r="O16" s="80">
        <f t="shared" si="8"/>
        <v>5.1689068713635822E-2</v>
      </c>
      <c r="P16" s="83">
        <f t="shared" si="4"/>
        <v>1</v>
      </c>
      <c r="Q16" s="109">
        <f t="shared" si="6"/>
        <v>147058.88315969857</v>
      </c>
      <c r="R16" s="94">
        <f t="shared" si="0"/>
        <v>0</v>
      </c>
      <c r="S16" s="85">
        <f t="shared" si="5"/>
        <v>0</v>
      </c>
    </row>
    <row r="17" spans="1:19" x14ac:dyDescent="0.25">
      <c r="A17" s="72" t="s">
        <v>311</v>
      </c>
      <c r="B17" s="103" t="s">
        <v>312</v>
      </c>
      <c r="D17" s="107">
        <f>D$16*'Value of Statistical Life'!D17*Appropriate_Crash_Reduction_Factor</f>
        <v>0</v>
      </c>
      <c r="E17" s="107">
        <f>E$16*'Value of Statistical Life'!E17*Appropriate_Crash_Reduction_Factor</f>
        <v>0</v>
      </c>
      <c r="F17" s="107">
        <f>F$16*'Value of Statistical Life'!F17*Appropriate_Crash_Reduction_Factor</f>
        <v>1.3911666666666666E-2</v>
      </c>
      <c r="G17" s="107">
        <f>G$16*'Value of Statistical Life'!G17*Appropriate_Crash_Reduction_Factor</f>
        <v>7.8123333333333322E-2</v>
      </c>
      <c r="H17" s="107">
        <f>H$16*'Value of Statistical Life'!H17*Appropriate_Crash_Reduction_Factor</f>
        <v>2.4675733333333332</v>
      </c>
      <c r="I17" s="107">
        <f>I$16*'Value of Statistical Life'!I17*Appropriate_Crash_Reduction_Factor</f>
        <v>0.21837999999999999</v>
      </c>
      <c r="J17" s="107">
        <f>SUM(D17:I17)</f>
        <v>2.7779883333333331</v>
      </c>
      <c r="M17" s="20">
        <f t="shared" si="1"/>
        <v>2031</v>
      </c>
      <c r="N17" s="78">
        <f t="shared" si="7"/>
        <v>4.7294122820626727E-2</v>
      </c>
      <c r="O17" s="80">
        <f t="shared" si="8"/>
        <v>5.4133657877862326E-2</v>
      </c>
      <c r="P17" s="83">
        <f t="shared" si="4"/>
        <v>1</v>
      </c>
      <c r="Q17" s="109">
        <f t="shared" si="6"/>
        <v>154013.90404171756</v>
      </c>
      <c r="R17" s="94">
        <f t="shared" si="0"/>
        <v>0</v>
      </c>
      <c r="S17" s="85">
        <f t="shared" si="5"/>
        <v>0</v>
      </c>
    </row>
    <row r="18" spans="1:19" x14ac:dyDescent="0.25">
      <c r="A18" s="72" t="s">
        <v>98</v>
      </c>
      <c r="B18" s="73" t="s">
        <v>99</v>
      </c>
      <c r="D18" s="107">
        <f>D$16*'Value of Statistical Life'!D18*Appropriate_Crash_Reduction_Factor</f>
        <v>0</v>
      </c>
      <c r="E18" s="107">
        <f>E$16*'Value of Statistical Life'!E18*Appropriate_Crash_Reduction_Factor</f>
        <v>0</v>
      </c>
      <c r="F18" s="107">
        <f>F$16*'Value of Statistical Life'!F18*Appropriate_Crash_Reduction_Factor</f>
        <v>0.12807166666666664</v>
      </c>
      <c r="G18" s="107">
        <f>G$16*'Value of Statistical Life'!G18*Appropriate_Crash_Reduction_Factor</f>
        <v>0.22981999999999997</v>
      </c>
      <c r="H18" s="107">
        <f>H$16*'Value of Statistical Life'!H18*Appropriate_Crash_Reduction_Factor</f>
        <v>0.19351999999999997</v>
      </c>
      <c r="I18" s="107">
        <f>I$16*'Value of Statistical Life'!I18*Appropriate_Crash_Reduction_Factor</f>
        <v>0.20869499999999999</v>
      </c>
      <c r="J18" s="107">
        <f t="shared" ref="J18:J23" si="9">SUM(D18:I18)</f>
        <v>0.7601066666666666</v>
      </c>
      <c r="M18" s="86">
        <f t="shared" si="1"/>
        <v>2032</v>
      </c>
      <c r="N18" s="78">
        <f t="shared" si="7"/>
        <v>4.7294122820626727E-2</v>
      </c>
      <c r="O18" s="80">
        <f t="shared" si="8"/>
        <v>5.6693861742267732E-2</v>
      </c>
      <c r="P18" s="83">
        <f t="shared" si="4"/>
        <v>1</v>
      </c>
      <c r="Q18" s="109">
        <f t="shared" si="6"/>
        <v>161297.85653555076</v>
      </c>
      <c r="R18" s="94">
        <f t="shared" si="0"/>
        <v>0</v>
      </c>
      <c r="S18" s="85">
        <f t="shared" si="5"/>
        <v>0</v>
      </c>
    </row>
    <row r="19" spans="1:19" x14ac:dyDescent="0.25">
      <c r="A19" s="72" t="s">
        <v>100</v>
      </c>
      <c r="B19" s="73" t="s">
        <v>101</v>
      </c>
      <c r="D19" s="107">
        <f>D$16*'Value of Statistical Life'!D19*Appropriate_Crash_Reduction_Factor</f>
        <v>0</v>
      </c>
      <c r="E19" s="107">
        <f>E$16*'Value of Statistical Life'!E19*Appropriate_Crash_Reduction_Factor</f>
        <v>0</v>
      </c>
      <c r="F19" s="107">
        <f>F$16*'Value of Statistical Life'!F19*Appropriate_Crash_Reduction_Factor</f>
        <v>1.816333333333333E-2</v>
      </c>
      <c r="G19" s="107">
        <f>G$16*'Value of Statistical Life'!G19*Appropriate_Crash_Reduction_Factor</f>
        <v>2.130333333333333E-2</v>
      </c>
      <c r="H19" s="107">
        <f>H$16*'Value of Statistical Life'!H19*Appropriate_Crash_Reduction_Factor</f>
        <v>5.28E-3</v>
      </c>
      <c r="I19" s="107">
        <f>I$16*'Value of Statistical Life'!I19*Appropriate_Crash_Reduction_Factor</f>
        <v>4.4359999999999997E-2</v>
      </c>
      <c r="J19" s="107">
        <f t="shared" si="9"/>
        <v>8.9106666666666667E-2</v>
      </c>
      <c r="M19" s="20">
        <f t="shared" si="1"/>
        <v>2033</v>
      </c>
      <c r="N19" s="78">
        <f t="shared" si="7"/>
        <v>4.7294122820626727E-2</v>
      </c>
      <c r="O19" s="80">
        <f t="shared" si="8"/>
        <v>5.9375148202682172E-2</v>
      </c>
      <c r="P19" s="83">
        <f t="shared" si="4"/>
        <v>1</v>
      </c>
      <c r="Q19" s="109">
        <f t="shared" si="6"/>
        <v>168926.29717324692</v>
      </c>
      <c r="R19" s="94">
        <f t="shared" si="0"/>
        <v>0</v>
      </c>
      <c r="S19" s="85">
        <f t="shared" si="5"/>
        <v>0</v>
      </c>
    </row>
    <row r="20" spans="1:19" x14ac:dyDescent="0.25">
      <c r="A20" s="72" t="s">
        <v>102</v>
      </c>
      <c r="B20" s="73" t="s">
        <v>103</v>
      </c>
      <c r="D20" s="107">
        <f>D$16*'Value of Statistical Life'!D20*Appropriate_Crash_Reduction_Factor</f>
        <v>0</v>
      </c>
      <c r="E20" s="107">
        <f>E$16*'Value of Statistical Life'!E20*Appropriate_Crash_Reduction_Factor</f>
        <v>0</v>
      </c>
      <c r="F20" s="107">
        <f>F$16*'Value of Statistical Life'!F20*Appropriate_Crash_Reduction_Factor</f>
        <v>5.3183333333333329E-3</v>
      </c>
      <c r="G20" s="107">
        <f>G$16*'Value of Statistical Life'!G20*Appropriate_Crash_Reduction_Factor</f>
        <v>3.5700000000000003E-3</v>
      </c>
      <c r="H20" s="107">
        <f>H$16*'Value of Statistical Life'!H20*Appropriate_Crash_Reduction_Factor</f>
        <v>2.1333333333333333E-4</v>
      </c>
      <c r="I20" s="107">
        <f>I$16*'Value of Statistical Life'!I20*Appropriate_Crash_Reduction_Factor</f>
        <v>2.4084999999999999E-2</v>
      </c>
      <c r="J20" s="107">
        <f t="shared" si="9"/>
        <v>3.3186666666666663E-2</v>
      </c>
      <c r="M20" s="86">
        <f t="shared" si="1"/>
        <v>2034</v>
      </c>
      <c r="N20" s="78">
        <f t="shared" si="7"/>
        <v>4.7294122820626727E-2</v>
      </c>
      <c r="O20" s="80">
        <f t="shared" si="8"/>
        <v>6.2183243754272741E-2</v>
      </c>
      <c r="P20" s="83">
        <f t="shared" si="4"/>
        <v>1</v>
      </c>
      <c r="Q20" s="109">
        <f t="shared" si="6"/>
        <v>176915.51821939214</v>
      </c>
      <c r="R20" s="94">
        <f t="shared" si="0"/>
        <v>0</v>
      </c>
      <c r="S20" s="85">
        <f t="shared" si="5"/>
        <v>0</v>
      </c>
    </row>
    <row r="21" spans="1:19" x14ac:dyDescent="0.25">
      <c r="A21" s="72" t="s">
        <v>104</v>
      </c>
      <c r="B21" s="73" t="s">
        <v>105</v>
      </c>
      <c r="D21" s="107">
        <f>D$16*'Value of Statistical Life'!D21*Appropriate_Crash_Reduction_Factor</f>
        <v>0</v>
      </c>
      <c r="E21" s="107">
        <f>E$16*'Value of Statistical Life'!E21*Appropriate_Crash_Reduction_Factor</f>
        <v>0</v>
      </c>
      <c r="F21" s="107">
        <f>F$16*'Value of Statistical Life'!F21*Appropriate_Crash_Reduction_Factor</f>
        <v>1.0333333333333332E-3</v>
      </c>
      <c r="G21" s="107">
        <f>G$16*'Value of Statistical Life'!G21*Appropriate_Crash_Reduction_Factor</f>
        <v>4.7333333333333331E-4</v>
      </c>
      <c r="H21" s="107">
        <f>H$16*'Value of Statistical Life'!H21*Appropriate_Crash_Reduction_Factor</f>
        <v>0</v>
      </c>
      <c r="I21" s="107">
        <f>I$16*'Value of Statistical Life'!I21*Appropriate_Crash_Reduction_Factor</f>
        <v>3.0850000000000001E-3</v>
      </c>
      <c r="J21" s="107">
        <f t="shared" si="9"/>
        <v>4.5916666666666666E-3</v>
      </c>
      <c r="M21" s="20">
        <f>M20+1</f>
        <v>2035</v>
      </c>
      <c r="N21" s="78">
        <f t="shared" si="7"/>
        <v>4.7294122820626727E-2</v>
      </c>
      <c r="O21" s="80">
        <f>O20*(1+IFERROR(_2025_2040_V_C_Growth,_2018_2040_V_C_Growth))</f>
        <v>6.5124145721772289E-2</v>
      </c>
      <c r="P21" s="83">
        <f t="shared" si="4"/>
        <v>1</v>
      </c>
      <c r="Q21" s="109">
        <f>Q20*(1+N21*P21)</f>
        <v>185282.58246693489</v>
      </c>
      <c r="R21" s="94">
        <f t="shared" si="0"/>
        <v>0</v>
      </c>
      <c r="S21" s="85">
        <f t="shared" si="5"/>
        <v>0</v>
      </c>
    </row>
    <row r="22" spans="1:19" x14ac:dyDescent="0.25">
      <c r="A22" s="72" t="s">
        <v>106</v>
      </c>
      <c r="B22" s="73" t="s">
        <v>107</v>
      </c>
      <c r="D22" s="107">
        <f>D$16*'Value of Statistical Life'!D22*Appropriate_Crash_Reduction_Factor</f>
        <v>0</v>
      </c>
      <c r="E22" s="107">
        <f>E$16*'Value of Statistical Life'!E22*Appropriate_Crash_Reduction_Factor</f>
        <v>0</v>
      </c>
      <c r="F22" s="107">
        <f>F$16*'Value of Statistical Life'!F22*Appropriate_Crash_Reduction_Factor</f>
        <v>1.6833333333333332E-4</v>
      </c>
      <c r="G22" s="107">
        <f>G$16*'Value of Statistical Life'!G22*Appropriate_Crash_Reduction_Factor</f>
        <v>4.3333333333333327E-5</v>
      </c>
      <c r="H22" s="107">
        <f>H$16*'Value of Statistical Life'!H22*Appropriate_Crash_Reduction_Factor</f>
        <v>7.9999999999999993E-5</v>
      </c>
      <c r="I22" s="107">
        <f>I$16*'Value of Statistical Life'!I22*Appropriate_Crash_Reduction_Factor</f>
        <v>1.395E-3</v>
      </c>
      <c r="J22" s="107">
        <f t="shared" si="9"/>
        <v>1.6866666666666666E-3</v>
      </c>
      <c r="M22" s="86">
        <f>M21+1</f>
        <v>2036</v>
      </c>
      <c r="N22" s="78">
        <f t="shared" si="7"/>
        <v>4.7294122820626727E-2</v>
      </c>
      <c r="O22" s="80">
        <f t="shared" si="8"/>
        <v>6.8204135068126184E-2</v>
      </c>
      <c r="P22" s="83">
        <f t="shared" si="4"/>
        <v>1</v>
      </c>
      <c r="Q22" s="109">
        <f t="shared" si="6"/>
        <v>194045.35967864902</v>
      </c>
      <c r="R22" s="94">
        <f t="shared" si="0"/>
        <v>0</v>
      </c>
      <c r="S22" s="85">
        <f t="shared" si="5"/>
        <v>0</v>
      </c>
    </row>
    <row r="23" spans="1:19" x14ac:dyDescent="0.25">
      <c r="A23" s="72" t="s">
        <v>108</v>
      </c>
      <c r="B23" s="73" t="s">
        <v>109</v>
      </c>
      <c r="D23" s="107">
        <f>D$16*'Value of Statistical Life'!D23*Appropriate_Crash_Reduction_Factor</f>
        <v>0</v>
      </c>
      <c r="E23" s="107">
        <f>E$16*'Value of Statistical Life'!E23*Appropriate_Crash_Reduction_Factor</f>
        <v>0</v>
      </c>
      <c r="F23" s="107">
        <f>F$16*'Value of Statistical Life'!F23*Appropriate_Crash_Reduction_Factor</f>
        <v>0</v>
      </c>
      <c r="G23" s="107">
        <f>G$16*'Value of Statistical Life'!G23*Appropriate_Crash_Reduction_Factor</f>
        <v>0</v>
      </c>
      <c r="H23" s="107">
        <f>H$16*'Value of Statistical Life'!H23*Appropriate_Crash_Reduction_Factor</f>
        <v>0</v>
      </c>
      <c r="I23" s="107">
        <f>I$16*'Value of Statistical Life'!I23*Appropriate_Crash_Reduction_Factor</f>
        <v>0</v>
      </c>
      <c r="J23" s="107">
        <f t="shared" si="9"/>
        <v>0</v>
      </c>
      <c r="M23" s="20">
        <f t="shared" si="1"/>
        <v>2037</v>
      </c>
      <c r="N23" s="78">
        <f t="shared" si="7"/>
        <v>4.7294122820626727E-2</v>
      </c>
      <c r="O23" s="80">
        <f t="shared" si="8"/>
        <v>7.1429789808912764E-2</v>
      </c>
      <c r="P23" s="83">
        <f t="shared" si="4"/>
        <v>1</v>
      </c>
      <c r="Q23" s="109">
        <f t="shared" si="6"/>
        <v>203222.56475206374</v>
      </c>
      <c r="R23" s="94">
        <f t="shared" si="0"/>
        <v>0</v>
      </c>
      <c r="S23" s="85">
        <f t="shared" si="5"/>
        <v>0</v>
      </c>
    </row>
    <row r="24" spans="1:19" x14ac:dyDescent="0.25">
      <c r="M24" s="86">
        <f t="shared" si="1"/>
        <v>2038</v>
      </c>
      <c r="N24" s="78">
        <f t="shared" si="7"/>
        <v>4.7294122820626727E-2</v>
      </c>
      <c r="O24" s="80">
        <f t="shared" si="8"/>
        <v>7.4807999061187042E-2</v>
      </c>
      <c r="P24" s="83">
        <f t="shared" si="4"/>
        <v>1</v>
      </c>
      <c r="Q24" s="109">
        <f t="shared" si="6"/>
        <v>212833.79768937061</v>
      </c>
      <c r="R24" s="94">
        <f t="shared" si="0"/>
        <v>0</v>
      </c>
      <c r="S24" s="85">
        <f t="shared" si="5"/>
        <v>0</v>
      </c>
    </row>
    <row r="25" spans="1:19" x14ac:dyDescent="0.25">
      <c r="M25" s="20">
        <f t="shared" si="1"/>
        <v>2039</v>
      </c>
      <c r="N25" s="78">
        <f t="shared" si="7"/>
        <v>4.7294122820626727E-2</v>
      </c>
      <c r="O25" s="80">
        <f t="shared" si="8"/>
        <v>7.8345977756752144E-2</v>
      </c>
      <c r="P25" s="83">
        <f t="shared" si="4"/>
        <v>1</v>
      </c>
      <c r="Q25" s="109">
        <f t="shared" si="6"/>
        <v>222899.58545767213</v>
      </c>
      <c r="R25" s="94">
        <f t="shared" si="0"/>
        <v>0</v>
      </c>
      <c r="S25" s="85">
        <f t="shared" si="5"/>
        <v>0</v>
      </c>
    </row>
    <row r="26" spans="1:19" x14ac:dyDescent="0.25">
      <c r="M26" s="86">
        <f t="shared" si="1"/>
        <v>2040</v>
      </c>
      <c r="N26" s="78">
        <f t="shared" si="7"/>
        <v>4.7294122820626727E-2</v>
      </c>
      <c r="O26" s="80">
        <f t="shared" si="8"/>
        <v>8.2051282051282065E-2</v>
      </c>
      <c r="P26" s="83">
        <f t="shared" si="4"/>
        <v>1</v>
      </c>
      <c r="Q26" s="109">
        <f t="shared" si="6"/>
        <v>233441.42582897405</v>
      </c>
      <c r="R26" s="94">
        <f t="shared" si="0"/>
        <v>0</v>
      </c>
      <c r="S26" s="85">
        <f t="shared" si="5"/>
        <v>0</v>
      </c>
    </row>
    <row r="27" spans="1:19" x14ac:dyDescent="0.25">
      <c r="M27" s="20">
        <f t="shared" si="1"/>
        <v>2041</v>
      </c>
      <c r="N27" s="78">
        <f t="shared" si="7"/>
        <v>4.7294122820626727E-2</v>
      </c>
      <c r="O27" s="80">
        <f t="shared" si="8"/>
        <v>8.5931825462205291E-2</v>
      </c>
      <c r="P27" s="83">
        <f t="shared" si="4"/>
        <v>1</v>
      </c>
      <c r="Q27" s="109">
        <f t="shared" si="6"/>
        <v>244481.83329355178</v>
      </c>
      <c r="R27" s="94">
        <f t="shared" si="0"/>
        <v>0</v>
      </c>
      <c r="S27" s="85">
        <f t="shared" si="5"/>
        <v>0</v>
      </c>
    </row>
    <row r="28" spans="1:19" x14ac:dyDescent="0.25">
      <c r="M28" s="86">
        <f t="shared" si="1"/>
        <v>2042</v>
      </c>
      <c r="N28" s="78">
        <f t="shared" si="7"/>
        <v>4.7294122820626727E-2</v>
      </c>
      <c r="O28" s="80">
        <f t="shared" si="8"/>
        <v>8.9995895769815482E-2</v>
      </c>
      <c r="P28" s="83">
        <f t="shared" si="4"/>
        <v>1</v>
      </c>
      <c r="Q28" s="109">
        <f t="shared" si="6"/>
        <v>256044.38714474902</v>
      </c>
      <c r="R28" s="94">
        <f t="shared" si="0"/>
        <v>0</v>
      </c>
      <c r="S28" s="85">
        <f t="shared" si="5"/>
        <v>0</v>
      </c>
    </row>
    <row r="29" spans="1:19" x14ac:dyDescent="0.25">
      <c r="M29" s="20">
        <f t="shared" si="1"/>
        <v>2043</v>
      </c>
      <c r="N29" s="78">
        <f t="shared" si="7"/>
        <v>4.7294122820626727E-2</v>
      </c>
      <c r="O29" s="80">
        <f t="shared" si="8"/>
        <v>9.425217271770546E-2</v>
      </c>
      <c r="P29" s="83">
        <f t="shared" si="4"/>
        <v>1</v>
      </c>
      <c r="Q29" s="109">
        <f t="shared" si="6"/>
        <v>268153.78183790488</v>
      </c>
      <c r="R29" s="94">
        <f t="shared" si="0"/>
        <v>0</v>
      </c>
      <c r="S29" s="85">
        <f t="shared" si="5"/>
        <v>0</v>
      </c>
    </row>
    <row r="30" spans="1:19" x14ac:dyDescent="0.25">
      <c r="M30" s="20">
        <f t="shared" si="1"/>
        <v>2044</v>
      </c>
      <c r="N30" s="78">
        <f t="shared" si="7"/>
        <v>4.7294122820626727E-2</v>
      </c>
      <c r="O30" s="80">
        <f t="shared" si="8"/>
        <v>9.8709746550327548E-2</v>
      </c>
      <c r="P30" s="83">
        <f t="shared" si="4"/>
        <v>1</v>
      </c>
      <c r="Q30" s="109">
        <f t="shared" ref="Q30:Q31" si="10">Q29*(1+N30*P30)</f>
        <v>280835.87973096228</v>
      </c>
      <c r="R30" s="94">
        <f t="shared" si="0"/>
        <v>0</v>
      </c>
      <c r="S30" s="85">
        <f t="shared" si="5"/>
        <v>0</v>
      </c>
    </row>
    <row r="31" spans="1:19" x14ac:dyDescent="0.25">
      <c r="M31" s="20">
        <f t="shared" si="1"/>
        <v>2045</v>
      </c>
      <c r="N31" s="78">
        <f t="shared" si="7"/>
        <v>4.7294122820626727E-2</v>
      </c>
      <c r="O31" s="80">
        <f t="shared" si="8"/>
        <v>0.10337813742727167</v>
      </c>
      <c r="P31" s="83">
        <f t="shared" si="4"/>
        <v>1</v>
      </c>
      <c r="Q31" s="109">
        <f t="shared" si="10"/>
        <v>294117.76631939714</v>
      </c>
      <c r="R31" s="94">
        <f t="shared" si="0"/>
        <v>0</v>
      </c>
      <c r="S31" s="85">
        <f t="shared" si="5"/>
        <v>0</v>
      </c>
    </row>
    <row r="32" spans="1:19" x14ac:dyDescent="0.25">
      <c r="A32" s="11"/>
      <c r="M32" s="20">
        <f t="shared" si="1"/>
        <v>2046</v>
      </c>
      <c r="N32" s="78">
        <f t="shared" si="7"/>
        <v>4.7294122820626727E-2</v>
      </c>
      <c r="O32" s="80">
        <f t="shared" si="8"/>
        <v>0.10826731575572468</v>
      </c>
      <c r="P32" s="83">
        <f t="shared" si="4"/>
        <v>1</v>
      </c>
      <c r="Q32" s="109">
        <f t="shared" ref="Q32:Q36" si="11">Q31*(1+N32*P32)</f>
        <v>308027.80808343511</v>
      </c>
      <c r="R32" s="94">
        <f t="shared" si="0"/>
        <v>0</v>
      </c>
      <c r="S32" s="85">
        <f t="shared" si="5"/>
        <v>0</v>
      </c>
    </row>
    <row r="33" spans="1:19" x14ac:dyDescent="0.25">
      <c r="A33" s="11"/>
      <c r="M33" s="20">
        <f t="shared" si="1"/>
        <v>2047</v>
      </c>
      <c r="N33" s="78">
        <f t="shared" si="7"/>
        <v>4.7294122820626727E-2</v>
      </c>
      <c r="O33" s="80">
        <f t="shared" si="8"/>
        <v>0.1133877234845355</v>
      </c>
      <c r="P33" s="83">
        <f t="shared" si="4"/>
        <v>1</v>
      </c>
      <c r="Q33" s="109">
        <f t="shared" si="11"/>
        <v>322595.71307110152</v>
      </c>
      <c r="R33" s="94">
        <f t="shared" si="0"/>
        <v>0</v>
      </c>
      <c r="S33" s="85">
        <f t="shared" si="5"/>
        <v>0</v>
      </c>
    </row>
    <row r="34" spans="1:19" x14ac:dyDescent="0.25">
      <c r="M34" s="20">
        <f t="shared" si="1"/>
        <v>2048</v>
      </c>
      <c r="N34" s="78">
        <f t="shared" si="7"/>
        <v>4.7294122820626727E-2</v>
      </c>
      <c r="O34" s="80">
        <f t="shared" si="8"/>
        <v>0.11875029640536439</v>
      </c>
      <c r="P34" s="83">
        <f t="shared" si="4"/>
        <v>1</v>
      </c>
      <c r="Q34" s="109">
        <f t="shared" si="11"/>
        <v>337852.59434649383</v>
      </c>
      <c r="R34" s="94">
        <f t="shared" si="0"/>
        <v>0</v>
      </c>
      <c r="S34" s="85">
        <f t="shared" si="5"/>
        <v>0</v>
      </c>
    </row>
    <row r="35" spans="1:19" x14ac:dyDescent="0.25">
      <c r="M35" s="20">
        <f t="shared" si="1"/>
        <v>2049</v>
      </c>
      <c r="N35" s="78">
        <f t="shared" si="7"/>
        <v>4.7294122820626727E-2</v>
      </c>
      <c r="O35" s="80">
        <f t="shared" si="8"/>
        <v>0.12436648750854552</v>
      </c>
      <c r="P35" s="83">
        <f t="shared" si="4"/>
        <v>1</v>
      </c>
      <c r="Q35" s="109">
        <f t="shared" si="11"/>
        <v>353831.03643878427</v>
      </c>
      <c r="R35" s="94">
        <f t="shared" si="0"/>
        <v>0</v>
      </c>
      <c r="S35" s="85">
        <f t="shared" si="5"/>
        <v>0</v>
      </c>
    </row>
    <row r="36" spans="1:19" x14ac:dyDescent="0.25">
      <c r="M36" s="20">
        <f t="shared" si="1"/>
        <v>2050</v>
      </c>
      <c r="N36" s="78">
        <f t="shared" si="7"/>
        <v>4.7294122820626727E-2</v>
      </c>
      <c r="O36" s="80">
        <f t="shared" si="8"/>
        <v>0.13024829144354461</v>
      </c>
      <c r="P36" s="83">
        <f t="shared" si="4"/>
        <v>1</v>
      </c>
      <c r="Q36" s="109">
        <f t="shared" si="11"/>
        <v>370565.16493386979</v>
      </c>
      <c r="R36" s="94">
        <f t="shared" si="0"/>
        <v>0</v>
      </c>
      <c r="S36" s="85">
        <f t="shared" si="5"/>
        <v>0</v>
      </c>
    </row>
  </sheetData>
  <mergeCells count="2">
    <mergeCell ref="A15:B16"/>
    <mergeCell ref="J15:J16"/>
  </mergeCells>
  <pageMargins left="0.25" right="0.25" top="0.75" bottom="0.75" header="0.3" footer="0.3"/>
  <pageSetup paperSize="17"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C23"/>
  <sheetViews>
    <sheetView zoomScaleNormal="100" workbookViewId="0">
      <selection activeCell="C8" sqref="C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4" t="s">
        <v>132</v>
      </c>
    </row>
    <row r="4" spans="2:3" x14ac:dyDescent="0.25">
      <c r="B4" s="4" t="s">
        <v>34</v>
      </c>
    </row>
    <row r="5" spans="2:3" x14ac:dyDescent="0.25">
      <c r="B5" s="45" t="s">
        <v>37</v>
      </c>
      <c r="C5" s="51">
        <v>2015</v>
      </c>
    </row>
    <row r="6" spans="2:3" x14ac:dyDescent="0.25">
      <c r="B6" s="45" t="s">
        <v>38</v>
      </c>
      <c r="C6" s="71" t="s">
        <v>91</v>
      </c>
    </row>
    <row r="7" spans="2:3" x14ac:dyDescent="0.25">
      <c r="B7" s="45" t="s">
        <v>134</v>
      </c>
      <c r="C7" s="52" t="s">
        <v>45</v>
      </c>
    </row>
    <row r="8" spans="2:3" x14ac:dyDescent="0.25">
      <c r="B8" s="45" t="s">
        <v>133</v>
      </c>
      <c r="C8" s="70">
        <f>'GDP Deflators'!P5-1</f>
        <v>2.0832073567924381E-2</v>
      </c>
    </row>
    <row r="9" spans="2:3" x14ac:dyDescent="0.25">
      <c r="B9" s="35"/>
      <c r="C9" s="36"/>
    </row>
    <row r="10" spans="2:3" x14ac:dyDescent="0.25">
      <c r="B10" s="37" t="s">
        <v>92</v>
      </c>
      <c r="C10" s="36"/>
    </row>
    <row r="11" spans="2:3" x14ac:dyDescent="0.25">
      <c r="B11" s="45" t="s">
        <v>93</v>
      </c>
      <c r="C11" s="76">
        <f>'Value of Statistical Life'!F11</f>
        <v>9587302.7263098899</v>
      </c>
    </row>
    <row r="12" spans="2:3" x14ac:dyDescent="0.25">
      <c r="B12" s="129" t="s">
        <v>111</v>
      </c>
      <c r="C12" s="130"/>
    </row>
    <row r="14" spans="2:3" x14ac:dyDescent="0.25">
      <c r="B14" s="37" t="s">
        <v>35</v>
      </c>
      <c r="C14" s="36"/>
    </row>
    <row r="15" spans="2:3" x14ac:dyDescent="0.25">
      <c r="B15" s="45" t="s">
        <v>84</v>
      </c>
      <c r="C15" s="50">
        <f>'Value of Travel Time'!D21</f>
        <v>16.100000000000001</v>
      </c>
    </row>
    <row r="16" spans="2:3" x14ac:dyDescent="0.25">
      <c r="B16" s="90" t="s">
        <v>130</v>
      </c>
      <c r="C16" s="91">
        <v>1.2E-2</v>
      </c>
    </row>
    <row r="18" spans="2:3" x14ac:dyDescent="0.25">
      <c r="B18" s="37" t="s">
        <v>36</v>
      </c>
    </row>
    <row r="19" spans="2:3" x14ac:dyDescent="0.25">
      <c r="B19" s="47" t="s">
        <v>86</v>
      </c>
      <c r="C19" s="48">
        <f>'Value of Emissions'!D4</f>
        <v>2083.1541467275511</v>
      </c>
    </row>
    <row r="20" spans="2:3" x14ac:dyDescent="0.25">
      <c r="B20" s="47" t="s">
        <v>87</v>
      </c>
      <c r="C20" s="48">
        <f>'Value of Emissions'!D5</f>
        <v>8208.6069103416321</v>
      </c>
    </row>
    <row r="21" spans="2:3" x14ac:dyDescent="0.25">
      <c r="B21" s="45" t="s">
        <v>49</v>
      </c>
      <c r="C21" s="49">
        <f>(0.267383+0.37942)/2</f>
        <v>0.32340150000000001</v>
      </c>
    </row>
    <row r="22" spans="2:3" x14ac:dyDescent="0.25">
      <c r="B22" s="45" t="s">
        <v>50</v>
      </c>
      <c r="C22" s="49">
        <f>(0.183428+0.198698)/2</f>
        <v>0.19106300000000001</v>
      </c>
    </row>
    <row r="23" spans="2:3" ht="63.75" x14ac:dyDescent="0.25">
      <c r="B23" s="45" t="s">
        <v>46</v>
      </c>
      <c r="C23" s="46" t="s">
        <v>47</v>
      </c>
    </row>
  </sheetData>
  <mergeCells count="1">
    <mergeCell ref="B12:C12"/>
  </mergeCells>
  <hyperlinks>
    <hyperlink ref="C23" r:id="rId1" location="page=80"/>
  </hyperlinks>
  <pageMargins left="0.25" right="0.25"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B2:H21"/>
  <sheetViews>
    <sheetView zoomScale="85" zoomScaleNormal="85" workbookViewId="0">
      <selection activeCell="D19" sqref="D19"/>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5" t="s">
        <v>74</v>
      </c>
    </row>
    <row r="3" spans="2:8" x14ac:dyDescent="0.25">
      <c r="B3" s="5"/>
    </row>
    <row r="4" spans="2:8" x14ac:dyDescent="0.25">
      <c r="B4" t="s">
        <v>0</v>
      </c>
      <c r="C4" t="s">
        <v>1</v>
      </c>
      <c r="D4" s="1">
        <v>2792941</v>
      </c>
      <c r="E4" s="3">
        <f>D4/D$12</f>
        <v>0.13018346701231348</v>
      </c>
      <c r="G4" t="s">
        <v>2</v>
      </c>
      <c r="H4" s="3">
        <f>SUMIF($C$4:$C$11,G4,$E$4:$E$11)</f>
        <v>0.74413612006105756</v>
      </c>
    </row>
    <row r="5" spans="2:8" x14ac:dyDescent="0.25">
      <c r="B5" t="s">
        <v>0</v>
      </c>
      <c r="C5" t="s">
        <v>2</v>
      </c>
      <c r="D5" s="1">
        <v>10901839</v>
      </c>
      <c r="E5" s="3">
        <f t="shared" ref="E5:E12" si="0">D5/D$12</f>
        <v>0.50815223015096012</v>
      </c>
      <c r="G5" t="s">
        <v>1</v>
      </c>
      <c r="H5" s="3">
        <f>SUMIF($C$4:$C$11,G5,$E$4:$E$11)</f>
        <v>0.21933837248304314</v>
      </c>
    </row>
    <row r="6" spans="2:8" x14ac:dyDescent="0.25">
      <c r="B6" t="s">
        <v>3</v>
      </c>
      <c r="C6" t="s">
        <v>1</v>
      </c>
      <c r="D6" s="1">
        <v>1856330</v>
      </c>
      <c r="E6" s="3">
        <f t="shared" si="0"/>
        <v>8.6526523588922169E-2</v>
      </c>
      <c r="G6" t="s">
        <v>4</v>
      </c>
      <c r="H6" s="3">
        <f>SUMIF($C$4:$C$11,G6,$E$4:$E$11)</f>
        <v>3.6525507455899359E-2</v>
      </c>
    </row>
    <row r="7" spans="2:8" x14ac:dyDescent="0.25">
      <c r="B7" t="s">
        <v>3</v>
      </c>
      <c r="C7" t="s">
        <v>2</v>
      </c>
      <c r="D7" s="1">
        <v>4856431</v>
      </c>
      <c r="E7" s="3">
        <f t="shared" si="0"/>
        <v>0.22636605101435245</v>
      </c>
      <c r="H7" s="3">
        <f>SUM(H4:H6)</f>
        <v>1</v>
      </c>
    </row>
    <row r="8" spans="2:8" x14ac:dyDescent="0.25">
      <c r="B8" t="s">
        <v>75</v>
      </c>
      <c r="C8" t="s">
        <v>4</v>
      </c>
      <c r="D8" s="1">
        <v>101057</v>
      </c>
      <c r="E8" s="3">
        <f t="shared" si="0"/>
        <v>4.7104291232300871E-3</v>
      </c>
    </row>
    <row r="9" spans="2:8" x14ac:dyDescent="0.25">
      <c r="B9" t="s">
        <v>76</v>
      </c>
      <c r="C9" t="s">
        <v>4</v>
      </c>
      <c r="D9" s="1">
        <v>682557</v>
      </c>
      <c r="E9" s="3">
        <f t="shared" si="0"/>
        <v>3.1815078332669271E-2</v>
      </c>
    </row>
    <row r="10" spans="2:8" x14ac:dyDescent="0.25">
      <c r="B10" t="s">
        <v>5</v>
      </c>
      <c r="C10" t="s">
        <v>1</v>
      </c>
      <c r="D10" s="1">
        <v>56389</v>
      </c>
      <c r="E10" s="3">
        <f t="shared" si="0"/>
        <v>2.6283818818075085E-3</v>
      </c>
    </row>
    <row r="11" spans="2:8" x14ac:dyDescent="0.25">
      <c r="B11" t="s">
        <v>6</v>
      </c>
      <c r="C11" t="s">
        <v>2</v>
      </c>
      <c r="D11" s="1">
        <v>206340</v>
      </c>
      <c r="E11" s="3">
        <f t="shared" si="0"/>
        <v>9.6178388957449384E-3</v>
      </c>
    </row>
    <row r="12" spans="2:8" x14ac:dyDescent="0.25">
      <c r="D12" s="2">
        <f>SUM(D4:D11)</f>
        <v>21453884</v>
      </c>
      <c r="E12" s="3">
        <f t="shared" si="0"/>
        <v>1</v>
      </c>
    </row>
    <row r="15" spans="2:8" x14ac:dyDescent="0.25">
      <c r="B15" s="5" t="s">
        <v>135</v>
      </c>
    </row>
    <row r="17" spans="2:4" x14ac:dyDescent="0.25">
      <c r="C17" s="8" t="s">
        <v>66</v>
      </c>
      <c r="D17" s="8" t="s">
        <v>83</v>
      </c>
    </row>
    <row r="18" spans="2:4" x14ac:dyDescent="0.25">
      <c r="B18" s="6" t="s">
        <v>7</v>
      </c>
      <c r="C18" s="7">
        <v>12.42</v>
      </c>
      <c r="D18" s="53">
        <f>C18*(1+'Assumed Values'!$C$16)^(2015-2013)</f>
        <v>12.719868479999999</v>
      </c>
    </row>
    <row r="19" spans="2:4" x14ac:dyDescent="0.25">
      <c r="B19" s="6" t="s">
        <v>8</v>
      </c>
      <c r="C19" s="7">
        <v>25.23</v>
      </c>
      <c r="D19" s="53">
        <f>C19*(1+'Assumed Values'!$C$16)^(2015-2013)</f>
        <v>25.839153119999999</v>
      </c>
    </row>
    <row r="20" spans="2:4" x14ac:dyDescent="0.25">
      <c r="B20" s="6" t="s">
        <v>4</v>
      </c>
      <c r="C20" s="7">
        <v>25.75</v>
      </c>
      <c r="D20" s="53">
        <f>C20*(1+'Assumed Values'!$C$16)^(2015-2013)</f>
        <v>26.371707999999998</v>
      </c>
    </row>
    <row r="21" spans="2:4" x14ac:dyDescent="0.25">
      <c r="B21" s="9" t="s">
        <v>9</v>
      </c>
      <c r="C21" s="10">
        <f>ROUND(SUMPRODUCT(C18:C20,H4:H6),2)</f>
        <v>15.72</v>
      </c>
      <c r="D21" s="10">
        <f>ROUND(SUMPRODUCT(D18:D20,H4:H6),2)</f>
        <v>16.100000000000001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I24"/>
  <sheetViews>
    <sheetView zoomScale="85" zoomScaleNormal="85" workbookViewId="0">
      <selection activeCell="F5" sqref="F5:F11"/>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s>
  <sheetData>
    <row r="2" spans="2:9" x14ac:dyDescent="0.25">
      <c r="B2" s="5" t="s">
        <v>136</v>
      </c>
    </row>
    <row r="4" spans="2:9" x14ac:dyDescent="0.25">
      <c r="B4" s="72" t="s">
        <v>94</v>
      </c>
      <c r="C4" s="72" t="s">
        <v>95</v>
      </c>
      <c r="D4" s="72" t="s">
        <v>96</v>
      </c>
      <c r="E4" s="72" t="s">
        <v>97</v>
      </c>
      <c r="F4" s="72" t="s">
        <v>110</v>
      </c>
    </row>
    <row r="5" spans="2:9" x14ac:dyDescent="0.25">
      <c r="B5" s="73" t="s">
        <v>311</v>
      </c>
      <c r="C5" s="73" t="s">
        <v>312</v>
      </c>
      <c r="D5" s="75">
        <v>0</v>
      </c>
      <c r="E5" s="74">
        <v>0</v>
      </c>
      <c r="F5" s="74">
        <f>E5*(1+'Assumed Values'!$C$8)^(2015-2013)</f>
        <v>0</v>
      </c>
    </row>
    <row r="6" spans="2:9" x14ac:dyDescent="0.25">
      <c r="B6" s="73" t="s">
        <v>98</v>
      </c>
      <c r="C6" s="73" t="s">
        <v>99</v>
      </c>
      <c r="D6" s="75">
        <v>3.0000000000000001E-3</v>
      </c>
      <c r="E6" s="74">
        <v>27600</v>
      </c>
      <c r="F6" s="74">
        <f>E6*(1+'Assumed Values'!$C$8)^(2015-2013)</f>
        <v>28761.908178929672</v>
      </c>
    </row>
    <row r="7" spans="2:9" x14ac:dyDescent="0.25">
      <c r="B7" s="73" t="s">
        <v>100</v>
      </c>
      <c r="C7" s="73" t="s">
        <v>101</v>
      </c>
      <c r="D7" s="75">
        <v>4.7E-2</v>
      </c>
      <c r="E7" s="74">
        <v>432400</v>
      </c>
      <c r="F7" s="74">
        <f>E7*(1+'Assumed Values'!$C$8)^(2015-2013)</f>
        <v>450603.22813656484</v>
      </c>
    </row>
    <row r="8" spans="2:9" x14ac:dyDescent="0.25">
      <c r="B8" s="73" t="s">
        <v>102</v>
      </c>
      <c r="C8" s="73" t="s">
        <v>103</v>
      </c>
      <c r="D8" s="75">
        <v>0.105</v>
      </c>
      <c r="E8" s="74">
        <v>966000</v>
      </c>
      <c r="F8" s="74">
        <f>E8*(1+'Assumed Values'!$C$8)^(2015-2013)</f>
        <v>1006666.7862625385</v>
      </c>
    </row>
    <row r="9" spans="2:9" x14ac:dyDescent="0.25">
      <c r="B9" s="73" t="s">
        <v>104</v>
      </c>
      <c r="C9" s="73" t="s">
        <v>105</v>
      </c>
      <c r="D9" s="75">
        <v>0.26600000000000001</v>
      </c>
      <c r="E9" s="74">
        <v>2447200</v>
      </c>
      <c r="F9" s="74">
        <f>E9*(1+'Assumed Values'!$C$8)^(2015-2013)</f>
        <v>2550222.5251984308</v>
      </c>
    </row>
    <row r="10" spans="2:9" x14ac:dyDescent="0.25">
      <c r="B10" s="73" t="s">
        <v>106</v>
      </c>
      <c r="C10" s="73" t="s">
        <v>107</v>
      </c>
      <c r="D10" s="75">
        <v>0.59299999999999997</v>
      </c>
      <c r="E10" s="74">
        <v>5455600</v>
      </c>
      <c r="F10" s="74">
        <f>E10*(1+'Assumed Values'!$C$8)^(2015-2013)</f>
        <v>5685270.5167017654</v>
      </c>
    </row>
    <row r="11" spans="2:9" x14ac:dyDescent="0.25">
      <c r="B11" s="73" t="s">
        <v>108</v>
      </c>
      <c r="C11" s="73" t="s">
        <v>109</v>
      </c>
      <c r="D11" s="75">
        <v>1</v>
      </c>
      <c r="E11" s="74">
        <v>9200000</v>
      </c>
      <c r="F11" s="74">
        <f>E11*(1+'Assumed Values'!$C$8)^(2015-2013)</f>
        <v>9587302.7263098899</v>
      </c>
    </row>
    <row r="14" spans="2:9" x14ac:dyDescent="0.25">
      <c r="B14" s="5" t="s">
        <v>314</v>
      </c>
    </row>
    <row r="16" spans="2:9" x14ac:dyDescent="0.25">
      <c r="B16" s="72" t="s">
        <v>94</v>
      </c>
      <c r="C16" s="103" t="s">
        <v>95</v>
      </c>
      <c r="D16" s="72" t="s">
        <v>145</v>
      </c>
      <c r="E16" s="72" t="s">
        <v>151</v>
      </c>
      <c r="F16" s="72" t="s">
        <v>150</v>
      </c>
      <c r="G16" s="72" t="s">
        <v>149</v>
      </c>
      <c r="H16" s="72" t="s">
        <v>148</v>
      </c>
      <c r="I16" s="72" t="s">
        <v>147</v>
      </c>
    </row>
    <row r="17" spans="2:9" x14ac:dyDescent="0.25">
      <c r="B17" s="72" t="s">
        <v>311</v>
      </c>
      <c r="C17" s="103" t="s">
        <v>312</v>
      </c>
      <c r="D17" s="104">
        <v>0</v>
      </c>
      <c r="E17" s="104">
        <v>3.4369999999999998E-2</v>
      </c>
      <c r="F17" s="104">
        <v>8.3470000000000003E-2</v>
      </c>
      <c r="G17" s="104">
        <v>0.23436999999999999</v>
      </c>
      <c r="H17" s="104">
        <v>0.92534000000000005</v>
      </c>
      <c r="I17" s="104">
        <v>0.43675999999999998</v>
      </c>
    </row>
    <row r="18" spans="2:9" x14ac:dyDescent="0.25">
      <c r="B18" s="72" t="s">
        <v>98</v>
      </c>
      <c r="C18" s="73" t="s">
        <v>99</v>
      </c>
      <c r="D18" s="104">
        <v>0</v>
      </c>
      <c r="E18" s="104">
        <v>0.55449000000000004</v>
      </c>
      <c r="F18" s="104">
        <v>0.76842999999999995</v>
      </c>
      <c r="G18" s="104">
        <v>0.68945999999999996</v>
      </c>
      <c r="H18" s="104">
        <v>7.2569999999999996E-2</v>
      </c>
      <c r="I18" s="104">
        <v>0.41738999999999998</v>
      </c>
    </row>
    <row r="19" spans="2:9" x14ac:dyDescent="0.25">
      <c r="B19" s="72" t="s">
        <v>100</v>
      </c>
      <c r="C19" s="73" t="s">
        <v>101</v>
      </c>
      <c r="D19" s="104">
        <v>0</v>
      </c>
      <c r="E19" s="104">
        <v>0.20907999999999999</v>
      </c>
      <c r="F19" s="104">
        <v>0.10897999999999999</v>
      </c>
      <c r="G19" s="104">
        <v>6.3909999999999995E-2</v>
      </c>
      <c r="H19" s="104">
        <v>1.98E-3</v>
      </c>
      <c r="I19" s="104">
        <v>8.8719999999999993E-2</v>
      </c>
    </row>
    <row r="20" spans="2:9" x14ac:dyDescent="0.25">
      <c r="B20" s="72" t="s">
        <v>102</v>
      </c>
      <c r="C20" s="73" t="s">
        <v>103</v>
      </c>
      <c r="D20" s="104">
        <v>0</v>
      </c>
      <c r="E20" s="104">
        <v>0.14437</v>
      </c>
      <c r="F20" s="104">
        <v>3.1910000000000001E-2</v>
      </c>
      <c r="G20" s="104">
        <v>1.0710000000000001E-2</v>
      </c>
      <c r="H20" s="104">
        <v>8.0000000000000007E-5</v>
      </c>
      <c r="I20" s="104">
        <v>4.8169999999999998E-2</v>
      </c>
    </row>
    <row r="21" spans="2:9" x14ac:dyDescent="0.25">
      <c r="B21" s="72" t="s">
        <v>104</v>
      </c>
      <c r="C21" s="73" t="s">
        <v>105</v>
      </c>
      <c r="D21" s="104">
        <v>0</v>
      </c>
      <c r="E21" s="104">
        <v>3.986E-2</v>
      </c>
      <c r="F21" s="104">
        <v>6.1999999999999998E-3</v>
      </c>
      <c r="G21" s="104">
        <v>1.42E-3</v>
      </c>
      <c r="H21" s="104">
        <v>0</v>
      </c>
      <c r="I21" s="104">
        <v>6.1700000000000001E-3</v>
      </c>
    </row>
    <row r="22" spans="2:9" x14ac:dyDescent="0.25">
      <c r="B22" s="72" t="s">
        <v>106</v>
      </c>
      <c r="C22" s="73" t="s">
        <v>107</v>
      </c>
      <c r="D22" s="104">
        <v>0</v>
      </c>
      <c r="E22" s="104">
        <v>1.7829999999999999E-2</v>
      </c>
      <c r="F22" s="104">
        <v>1.01E-3</v>
      </c>
      <c r="G22" s="104">
        <v>1.2999999999999999E-4</v>
      </c>
      <c r="H22" s="104">
        <v>3.0000000000000001E-5</v>
      </c>
      <c r="I22" s="104">
        <v>2.7899999999999999E-3</v>
      </c>
    </row>
    <row r="23" spans="2:9" x14ac:dyDescent="0.25">
      <c r="B23" s="72" t="s">
        <v>108</v>
      </c>
      <c r="C23" s="73" t="s">
        <v>109</v>
      </c>
      <c r="D23" s="104">
        <v>1</v>
      </c>
      <c r="E23" s="104">
        <v>0</v>
      </c>
      <c r="F23" s="104">
        <v>0</v>
      </c>
      <c r="G23" s="104">
        <v>0</v>
      </c>
      <c r="H23" s="104">
        <v>0</v>
      </c>
      <c r="I23" s="104">
        <v>0</v>
      </c>
    </row>
    <row r="24" spans="2:9" x14ac:dyDescent="0.25">
      <c r="B24" s="131" t="s">
        <v>313</v>
      </c>
      <c r="C24" s="131"/>
      <c r="D24" s="105">
        <f t="shared" ref="D24:I24" si="0">SUM(D17:D23)</f>
        <v>1</v>
      </c>
      <c r="E24" s="105">
        <f t="shared" si="0"/>
        <v>1</v>
      </c>
      <c r="F24" s="105">
        <f t="shared" si="0"/>
        <v>0.99999999999999989</v>
      </c>
      <c r="G24" s="105">
        <f t="shared" si="0"/>
        <v>0.99999999999999989</v>
      </c>
      <c r="H24" s="105">
        <f t="shared" si="0"/>
        <v>1</v>
      </c>
      <c r="I24" s="105">
        <f t="shared" si="0"/>
        <v>1</v>
      </c>
    </row>
  </sheetData>
  <mergeCells count="1">
    <mergeCell ref="B24:C2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sheetPr>
  <dimension ref="B1:D5"/>
  <sheetViews>
    <sheetView workbookViewId="0">
      <selection activeCell="D4" sqref="D4"/>
    </sheetView>
  </sheetViews>
  <sheetFormatPr defaultRowHeight="15" x14ac:dyDescent="0.25"/>
  <cols>
    <col min="1" max="1" width="2.85546875" customWidth="1"/>
    <col min="2" max="2" width="33.7109375" customWidth="1"/>
    <col min="3" max="4" width="20" bestFit="1" customWidth="1"/>
  </cols>
  <sheetData>
    <row r="1" spans="2:4" x14ac:dyDescent="0.25">
      <c r="B1" s="5" t="s">
        <v>48</v>
      </c>
    </row>
    <row r="2" spans="2:4" x14ac:dyDescent="0.25">
      <c r="B2" s="5"/>
    </row>
    <row r="3" spans="2:4" x14ac:dyDescent="0.25">
      <c r="B3" s="54" t="s">
        <v>10</v>
      </c>
      <c r="C3" s="54" t="s">
        <v>77</v>
      </c>
      <c r="D3" s="54" t="s">
        <v>85</v>
      </c>
    </row>
    <row r="4" spans="2:4" x14ac:dyDescent="0.25">
      <c r="B4" s="47" t="s">
        <v>11</v>
      </c>
      <c r="C4" s="69">
        <v>1999</v>
      </c>
      <c r="D4" s="69">
        <f>C4*(1+'Assumed Values'!$C$8)^(2015-2013)</f>
        <v>2083.1541467275511</v>
      </c>
    </row>
    <row r="5" spans="2:4" x14ac:dyDescent="0.25">
      <c r="B5" s="47" t="s">
        <v>12</v>
      </c>
      <c r="C5" s="48">
        <v>7877</v>
      </c>
      <c r="D5" s="69">
        <f>C5*(1+'Assumed Values'!$C$8)^(2015-2013)</f>
        <v>8208.6069103416321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sheetPr>
  <dimension ref="A2:P9"/>
  <sheetViews>
    <sheetView workbookViewId="0">
      <selection activeCell="P5" sqref="P5"/>
    </sheetView>
  </sheetViews>
  <sheetFormatPr defaultRowHeight="15" x14ac:dyDescent="0.25"/>
  <cols>
    <col min="1" max="1" width="19.5703125" customWidth="1"/>
    <col min="2" max="6" width="7.5703125" bestFit="1" customWidth="1"/>
    <col min="7" max="13" width="8.5703125" bestFit="1" customWidth="1"/>
    <col min="14" max="14" width="10.140625" bestFit="1" customWidth="1"/>
  </cols>
  <sheetData>
    <row r="2" spans="1:16" x14ac:dyDescent="0.25">
      <c r="A2" s="4" t="s">
        <v>39</v>
      </c>
      <c r="B2" s="38"/>
      <c r="C2" s="38"/>
      <c r="D2" s="38"/>
      <c r="E2" s="38"/>
      <c r="F2" s="38"/>
      <c r="G2" s="38"/>
      <c r="H2" s="38"/>
      <c r="I2" s="38"/>
      <c r="J2" s="38"/>
      <c r="K2" s="38"/>
      <c r="L2" s="38"/>
      <c r="M2" s="38"/>
      <c r="N2" s="38"/>
    </row>
    <row r="3" spans="1:16" x14ac:dyDescent="0.25">
      <c r="A3" s="38"/>
      <c r="B3" s="39">
        <v>2000</v>
      </c>
      <c r="C3" s="39">
        <v>2001</v>
      </c>
      <c r="D3" s="39">
        <v>2002</v>
      </c>
      <c r="E3" s="39">
        <v>2003</v>
      </c>
      <c r="F3" s="39">
        <v>2004</v>
      </c>
      <c r="G3" s="39">
        <v>2005</v>
      </c>
      <c r="H3" s="39">
        <v>2006</v>
      </c>
      <c r="I3" s="39">
        <v>2007</v>
      </c>
      <c r="J3" s="39">
        <v>2008</v>
      </c>
      <c r="K3" s="39">
        <v>2009</v>
      </c>
      <c r="L3" s="39">
        <v>2010</v>
      </c>
      <c r="M3" s="39">
        <v>2011</v>
      </c>
      <c r="N3" s="39">
        <v>2012</v>
      </c>
      <c r="O3" s="39">
        <v>2013</v>
      </c>
      <c r="P3" s="39" t="s">
        <v>82</v>
      </c>
    </row>
    <row r="4" spans="1:16" x14ac:dyDescent="0.25">
      <c r="A4" s="40" t="s">
        <v>42</v>
      </c>
      <c r="B4" s="41">
        <v>81.891000000000005</v>
      </c>
      <c r="C4" s="41">
        <v>83.766000000000005</v>
      </c>
      <c r="D4" s="41">
        <v>85.054000000000002</v>
      </c>
      <c r="E4" s="41">
        <v>86.754000000000005</v>
      </c>
      <c r="F4" s="41">
        <v>89.132000000000005</v>
      </c>
      <c r="G4" s="41">
        <v>91.991</v>
      </c>
      <c r="H4" s="41">
        <v>94.817999999999998</v>
      </c>
      <c r="I4" s="41">
        <v>97.334999999999994</v>
      </c>
      <c r="J4" s="41">
        <v>99.236000000000004</v>
      </c>
      <c r="K4" s="41">
        <v>100</v>
      </c>
      <c r="L4" s="41">
        <v>101.211</v>
      </c>
      <c r="M4" s="42">
        <v>103.199</v>
      </c>
      <c r="N4" s="42">
        <v>105.002</v>
      </c>
      <c r="O4" s="42">
        <v>106.58799999999999</v>
      </c>
      <c r="P4" s="42"/>
    </row>
    <row r="5" spans="1:16" x14ac:dyDescent="0.25">
      <c r="A5" s="40" t="s">
        <v>43</v>
      </c>
      <c r="B5" s="41">
        <f t="shared" ref="B5:H5" si="0">C4/B4</f>
        <v>1.0228962889694839</v>
      </c>
      <c r="C5" s="41">
        <f t="shared" si="0"/>
        <v>1.0153761669412411</v>
      </c>
      <c r="D5" s="41">
        <f t="shared" si="0"/>
        <v>1.0199873021844945</v>
      </c>
      <c r="E5" s="41">
        <f t="shared" si="0"/>
        <v>1.0274108398460013</v>
      </c>
      <c r="F5" s="41">
        <f t="shared" si="0"/>
        <v>1.0320760220796121</v>
      </c>
      <c r="G5" s="41">
        <f t="shared" si="0"/>
        <v>1.0307312671891815</v>
      </c>
      <c r="H5" s="41">
        <f t="shared" si="0"/>
        <v>1.0265455926089984</v>
      </c>
      <c r="I5" s="41">
        <f>J4/I4</f>
        <v>1.0195304874916526</v>
      </c>
      <c r="J5" s="41">
        <f t="shared" ref="J5:N5" si="1">K4/J4</f>
        <v>1.0076988189769842</v>
      </c>
      <c r="K5" s="41">
        <f t="shared" si="1"/>
        <v>1.0121100000000001</v>
      </c>
      <c r="L5" s="41">
        <f t="shared" si="1"/>
        <v>1.0196421337601644</v>
      </c>
      <c r="M5" s="41">
        <f t="shared" si="1"/>
        <v>1.0174710995261582</v>
      </c>
      <c r="N5" s="41">
        <f t="shared" si="1"/>
        <v>1.0151044742004913</v>
      </c>
      <c r="O5" s="41"/>
      <c r="P5" s="41">
        <f>AVERAGE(E5:N5)</f>
        <v>1.0208320735679244</v>
      </c>
    </row>
    <row r="6" spans="1:16" x14ac:dyDescent="0.25">
      <c r="A6" s="40" t="s">
        <v>44</v>
      </c>
      <c r="B6" s="41">
        <f t="shared" ref="B6:H6" si="2">$N4/B4</f>
        <v>1.2822166049993282</v>
      </c>
      <c r="C6" s="41">
        <f t="shared" si="2"/>
        <v>1.2535157462454933</v>
      </c>
      <c r="D6" s="41">
        <f t="shared" si="2"/>
        <v>1.2345333552801749</v>
      </c>
      <c r="E6" s="41">
        <f t="shared" si="2"/>
        <v>1.2103418862530833</v>
      </c>
      <c r="F6" s="41">
        <f t="shared" si="2"/>
        <v>1.178050531795539</v>
      </c>
      <c r="G6" s="41">
        <f t="shared" si="2"/>
        <v>1.1414377493450445</v>
      </c>
      <c r="H6" s="41">
        <f t="shared" si="2"/>
        <v>1.1074057668375203</v>
      </c>
      <c r="I6" s="41">
        <f>$N4/I4</f>
        <v>1.0787691991575488</v>
      </c>
      <c r="J6" s="41">
        <f t="shared" ref="J6:N6" si="3">$N4/J4</f>
        <v>1.0581039139022128</v>
      </c>
      <c r="K6" s="41">
        <f t="shared" si="3"/>
        <v>1.05002</v>
      </c>
      <c r="L6" s="41">
        <f t="shared" si="3"/>
        <v>1.0374564029601525</v>
      </c>
      <c r="M6" s="41">
        <f t="shared" si="3"/>
        <v>1.0174710995261582</v>
      </c>
      <c r="N6" s="41">
        <f t="shared" si="3"/>
        <v>1</v>
      </c>
      <c r="O6" s="41">
        <f t="shared" ref="O6" si="4">$N4/O4</f>
        <v>0.98512027620370024</v>
      </c>
      <c r="P6" s="41"/>
    </row>
    <row r="8" spans="1:16" x14ac:dyDescent="0.25">
      <c r="A8" s="43" t="s">
        <v>40</v>
      </c>
    </row>
    <row r="9" spans="1:16" x14ac:dyDescent="0.25">
      <c r="A9" s="44" t="s">
        <v>41</v>
      </c>
    </row>
  </sheetData>
  <hyperlinks>
    <hyperlink ref="A9"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E16"/>
  <sheetViews>
    <sheetView workbookViewId="0">
      <selection activeCell="C2" sqref="C2:E8"/>
    </sheetView>
  </sheetViews>
  <sheetFormatPr defaultRowHeight="15" x14ac:dyDescent="0.25"/>
  <cols>
    <col min="2" max="2" width="24.28515625" bestFit="1" customWidth="1"/>
    <col min="3" max="3" width="7.5703125" bestFit="1" customWidth="1"/>
    <col min="4" max="5" width="6.85546875" bestFit="1" customWidth="1"/>
  </cols>
  <sheetData>
    <row r="2" spans="2:5" x14ac:dyDescent="0.25">
      <c r="B2" s="100" t="s">
        <v>300</v>
      </c>
      <c r="C2" s="101">
        <f>D2-1</f>
        <v>2011</v>
      </c>
      <c r="D2" s="101">
        <f>E2-1</f>
        <v>2012</v>
      </c>
      <c r="E2" s="101">
        <f>MAX(INDEX(CRASH!1:1048576,,MATCH("Year",CRASH!1:1,0)))</f>
        <v>2013</v>
      </c>
    </row>
    <row r="3" spans="2:5" x14ac:dyDescent="0.25">
      <c r="B3" s="12" t="s">
        <v>145</v>
      </c>
      <c r="C3" s="16">
        <f>SUMIFS(INDEX(CRASH!$1:$1048576,,MATCH($B3,CRASH!$1:$1,0)),INDEX(CRASH!$1:$1048576,,MATCH("Year",CRASH!$1:$1,0)),C$2)</f>
        <v>0</v>
      </c>
      <c r="D3" s="16">
        <f>SUMIFS(INDEX(CRASH!$1:$1048576,,MATCH($B3,CRASH!$1:$1,0)),INDEX(CRASH!$1:$1048576,,MATCH("Year",CRASH!$1:$1,0)),D$2)</f>
        <v>0</v>
      </c>
      <c r="E3" s="16">
        <f>SUMIFS(INDEX(CRASH!$1:$1048576,,MATCH($B3,CRASH!$1:$1,0)),INDEX(CRASH!$1:$1048576,,MATCH("Year",CRASH!$1:$1,0)),E$2)</f>
        <v>0</v>
      </c>
    </row>
    <row r="4" spans="2:5" x14ac:dyDescent="0.25">
      <c r="B4" s="12" t="s">
        <v>151</v>
      </c>
      <c r="C4" s="16">
        <f>SUMIFS(INDEX(CRASH!$1:$1048576,,MATCH($B4,CRASH!$1:$1,0)),INDEX(CRASH!$1:$1048576,,MATCH("Year",CRASH!$1:$1,0)),C$2)</f>
        <v>0</v>
      </c>
      <c r="D4" s="16">
        <f>SUMIFS(INDEX(CRASH!$1:$1048576,,MATCH($B4,CRASH!$1:$1,0)),INDEX(CRASH!$1:$1048576,,MATCH("Year",CRASH!$1:$1,0)),D$2)</f>
        <v>0</v>
      </c>
      <c r="E4" s="16">
        <f>SUMIFS(INDEX(CRASH!$1:$1048576,,MATCH($B4,CRASH!$1:$1,0)),INDEX(CRASH!$1:$1048576,,MATCH("Year",CRASH!$1:$1,0)),E$2)</f>
        <v>0</v>
      </c>
    </row>
    <row r="5" spans="2:5" x14ac:dyDescent="0.25">
      <c r="B5" s="12" t="s">
        <v>150</v>
      </c>
      <c r="C5" s="16">
        <f>SUMIFS(INDEX(CRASH!$1:$1048576,,MATCH($B5,CRASH!$1:$1,0)),INDEX(CRASH!$1:$1048576,,MATCH("Year",CRASH!$1:$1,0)),C$2)</f>
        <v>1</v>
      </c>
      <c r="D5" s="16">
        <f>SUMIFS(INDEX(CRASH!$1:$1048576,,MATCH($B5,CRASH!$1:$1,0)),INDEX(CRASH!$1:$1048576,,MATCH("Year",CRASH!$1:$1,0)),D$2)</f>
        <v>0</v>
      </c>
      <c r="E5" s="16">
        <f>SUMIFS(INDEX(CRASH!$1:$1048576,,MATCH($B5,CRASH!$1:$1,0)),INDEX(CRASH!$1:$1048576,,MATCH("Year",CRASH!$1:$1,0)),E$2)</f>
        <v>1</v>
      </c>
    </row>
    <row r="6" spans="2:5" x14ac:dyDescent="0.25">
      <c r="B6" s="12" t="s">
        <v>149</v>
      </c>
      <c r="C6" s="16">
        <f>SUMIFS(INDEX(CRASH!$1:$1048576,,MATCH($B6,CRASH!$1:$1,0)),INDEX(CRASH!$1:$1048576,,MATCH("Year",CRASH!$1:$1,0)),C$2)</f>
        <v>2</v>
      </c>
      <c r="D6" s="16">
        <f>SUMIFS(INDEX(CRASH!$1:$1048576,,MATCH($B6,CRASH!$1:$1,0)),INDEX(CRASH!$1:$1048576,,MATCH("Year",CRASH!$1:$1,0)),D$2)</f>
        <v>0</v>
      </c>
      <c r="E6" s="16">
        <f>SUMIFS(INDEX(CRASH!$1:$1048576,,MATCH($B6,CRASH!$1:$1,0)),INDEX(CRASH!$1:$1048576,,MATCH("Year",CRASH!$1:$1,0)),E$2)</f>
        <v>2</v>
      </c>
    </row>
    <row r="7" spans="2:5" x14ac:dyDescent="0.25">
      <c r="B7" s="12" t="s">
        <v>148</v>
      </c>
      <c r="C7" s="16">
        <f>SUMIFS(INDEX(CRASH!$1:$1048576,,MATCH($B7,CRASH!$1:$1,0)),INDEX(CRASH!$1:$1048576,,MATCH("Year",CRASH!$1:$1,0)),C$2)</f>
        <v>6</v>
      </c>
      <c r="D7" s="16">
        <f>SUMIFS(INDEX(CRASH!$1:$1048576,,MATCH($B7,CRASH!$1:$1,0)),INDEX(CRASH!$1:$1048576,,MATCH("Year",CRASH!$1:$1,0)),D$2)</f>
        <v>1</v>
      </c>
      <c r="E7" s="16">
        <f>SUMIFS(INDEX(CRASH!$1:$1048576,,MATCH($B7,CRASH!$1:$1,0)),INDEX(CRASH!$1:$1048576,,MATCH("Year",CRASH!$1:$1,0)),E$2)</f>
        <v>25</v>
      </c>
    </row>
    <row r="8" spans="2:5" x14ac:dyDescent="0.25">
      <c r="B8" s="12" t="s">
        <v>147</v>
      </c>
      <c r="C8" s="16">
        <f>SUMIFS(INDEX(CRASH!$1:$1048576,,MATCH($B8,CRASH!$1:$1,0)),INDEX(CRASH!$1:$1048576,,MATCH("Year",CRASH!$1:$1,0)),C$2)</f>
        <v>3</v>
      </c>
      <c r="D8" s="16">
        <f>SUMIFS(INDEX(CRASH!$1:$1048576,,MATCH($B8,CRASH!$1:$1,0)),INDEX(CRASH!$1:$1048576,,MATCH("Year",CRASH!$1:$1,0)),D$2)</f>
        <v>1</v>
      </c>
      <c r="E8" s="16">
        <f>SUMIFS(INDEX(CRASH!$1:$1048576,,MATCH($B8,CRASH!$1:$1,0)),INDEX(CRASH!$1:$1048576,,MATCH("Year",CRASH!$1:$1,0)),E$2)</f>
        <v>2</v>
      </c>
    </row>
    <row r="10" spans="2:5" x14ac:dyDescent="0.25">
      <c r="B10" s="102" t="s">
        <v>310</v>
      </c>
      <c r="C10" s="73" t="s">
        <v>301</v>
      </c>
      <c r="D10" s="73" t="s">
        <v>303</v>
      </c>
      <c r="E10" s="73" t="s">
        <v>302</v>
      </c>
    </row>
    <row r="11" spans="2:5" x14ac:dyDescent="0.25">
      <c r="C11" s="73">
        <v>0</v>
      </c>
      <c r="D11" s="73">
        <v>0</v>
      </c>
      <c r="E11" s="73">
        <v>0</v>
      </c>
    </row>
    <row r="12" spans="2:5" x14ac:dyDescent="0.25">
      <c r="C12" s="73">
        <v>0</v>
      </c>
      <c r="D12" s="73">
        <v>0</v>
      </c>
      <c r="E12" s="73">
        <v>0</v>
      </c>
    </row>
    <row r="13" spans="2:5" x14ac:dyDescent="0.25">
      <c r="C13" s="73">
        <v>0</v>
      </c>
      <c r="D13" s="73">
        <v>0</v>
      </c>
      <c r="E13" s="73">
        <v>0</v>
      </c>
    </row>
    <row r="14" spans="2:5" x14ac:dyDescent="0.25">
      <c r="C14" s="73">
        <v>0</v>
      </c>
      <c r="D14" s="73">
        <v>0</v>
      </c>
      <c r="E14" s="73">
        <v>0</v>
      </c>
    </row>
    <row r="15" spans="2:5" x14ac:dyDescent="0.25">
      <c r="C15" s="73">
        <v>0</v>
      </c>
      <c r="D15" s="73">
        <v>0</v>
      </c>
      <c r="E15" s="73">
        <v>0</v>
      </c>
    </row>
    <row r="16" spans="2:5" x14ac:dyDescent="0.25">
      <c r="C16" s="73">
        <v>0</v>
      </c>
      <c r="D16" s="73">
        <v>0</v>
      </c>
      <c r="E16" s="73">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44</vt:i4>
      </vt:variant>
    </vt:vector>
  </HeadingPairs>
  <TitlesOfParts>
    <vt:vector size="56" baseType="lpstr">
      <vt:lpstr>Instructions</vt:lpstr>
      <vt:lpstr>ITS Delay Worksheet</vt:lpstr>
      <vt:lpstr>Emissions Reduction Worksheet</vt:lpstr>
      <vt:lpstr>Inputs &amp; Outputs</vt:lpstr>
      <vt:lpstr>CRASH</vt:lpstr>
      <vt:lpstr>Calculations</vt:lpstr>
      <vt:lpstr>Assumed Values</vt:lpstr>
      <vt:lpstr>Value of Travel Time</vt:lpstr>
      <vt:lpstr>Value of Statistical Life</vt:lpstr>
      <vt:lpstr>Value of Emissions</vt:lpstr>
      <vt:lpstr>GDP Deflators</vt:lpstr>
      <vt:lpstr>CRASH SUM</vt:lpstr>
      <vt:lpstr>_2018_2025_Demand_Growth</vt:lpstr>
      <vt:lpstr>_2018_2025_V_C_Growth</vt:lpstr>
      <vt:lpstr>_2018_2040_Demand_Growth</vt:lpstr>
      <vt:lpstr>_2018_2040_V_C_Growth</vt:lpstr>
      <vt:lpstr>_2018_Capacity</vt:lpstr>
      <vt:lpstr>_2018_V_C_Ratio</vt:lpstr>
      <vt:lpstr>_2018_Volume</vt:lpstr>
      <vt:lpstr>_2025_2040_Demand_Growth</vt:lpstr>
      <vt:lpstr>_2025_2040_V_C_Growth</vt:lpstr>
      <vt:lpstr>_2025_Capacity</vt:lpstr>
      <vt:lpstr>_2025_V_C_Ratio</vt:lpstr>
      <vt:lpstr>_2025_Volume</vt:lpstr>
      <vt:lpstr>_2040_Capacity</vt:lpstr>
      <vt:lpstr>_2040_V_C_Ratio</vt:lpstr>
      <vt:lpstr>_2040_Volume</vt:lpstr>
      <vt:lpstr>Application_ID_Number</vt:lpstr>
      <vt:lpstr>Appropriate_Crash_Reduction_Factor</vt:lpstr>
      <vt:lpstr>Avg_Death_Cnt</vt:lpstr>
      <vt:lpstr>Avg_Incap_Injry_Cnt</vt:lpstr>
      <vt:lpstr>Avg_Non_Injry_Cnt</vt:lpstr>
      <vt:lpstr>Avg_Nonincap_Injry_Cnt</vt:lpstr>
      <vt:lpstr>Avg_Poss_Injry_Cnt</vt:lpstr>
      <vt:lpstr>Avg_Unkn_Injry_Cnt</vt:lpstr>
      <vt:lpstr>Base_Year</vt:lpstr>
      <vt:lpstr>Crash_Avg</vt:lpstr>
      <vt:lpstr>Crash_Hist_Reset</vt:lpstr>
      <vt:lpstr>Crash_Hist_Tab</vt:lpstr>
      <vt:lpstr>CRIS_Titles</vt:lpstr>
      <vt:lpstr>GDP_Deflator_Future</vt:lpstr>
      <vt:lpstr>Name</vt:lpstr>
      <vt:lpstr>Possible_Crash_Reductions</vt:lpstr>
      <vt:lpstr>Preventable_Crash_History</vt:lpstr>
      <vt:lpstr>'Assumed Values'!Print_Area</vt:lpstr>
      <vt:lpstr>Calculations!Print_Area</vt:lpstr>
      <vt:lpstr>'Emissions Reduction Worksheet'!Print_Area</vt:lpstr>
      <vt:lpstr>'Inputs &amp; Outputs'!Print_Area</vt:lpstr>
      <vt:lpstr>Instructions!Print_Area</vt:lpstr>
      <vt:lpstr>'ITS Delay Worksheet'!Print_Area</vt:lpstr>
      <vt:lpstr>Service_Life</vt:lpstr>
      <vt:lpstr>Sponsor_ID_Number__CSJ__etc.</vt:lpstr>
      <vt:lpstr>Value_of_Delay_Savings__2015_____000s</vt:lpstr>
      <vt:lpstr>Value_of_Statistical_Life_2015</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engineer-matt</cp:lastModifiedBy>
  <cp:lastPrinted>2014-11-11T16:55:33Z</cp:lastPrinted>
  <dcterms:created xsi:type="dcterms:W3CDTF">2012-07-25T15:48:32Z</dcterms:created>
  <dcterms:modified xsi:type="dcterms:W3CDTF">2015-01-08T13:57:06Z</dcterms:modified>
</cp:coreProperties>
</file>