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4875" yWindow="1275" windowWidth="18330" windowHeight="7920" tabRatio="763" firstSheet="3" activeTab="3"/>
  </bookViews>
  <sheets>
    <sheet name="Instructions" sheetId="8" r:id="rId1"/>
    <sheet name="ITS Delay Worksheet" sheetId="7" state="hidden" r:id="rId2"/>
    <sheet name="Emissions Reduction Worksheet" sheetId="5" state="hidden" r:id="rId3"/>
    <sheet name="Inputs &amp; Outputs" sheetId="11" r:id="rId4"/>
    <sheet name="CRASH" sheetId="13" r:id="rId5"/>
    <sheet name="Calculations" sheetId="12" r:id="rId6"/>
    <sheet name="Assumed Values" sheetId="2" r:id="rId7"/>
    <sheet name="Value of Travel Time" sheetId="1" r:id="rId8"/>
    <sheet name="Value of Statistical Life" sheetId="9" r:id="rId9"/>
    <sheet name="Value of Emissions" sheetId="6" r:id="rId10"/>
    <sheet name="GDP Deflators" sheetId="4" r:id="rId11"/>
    <sheet name="CRASH SUM" sheetId="14" r:id="rId12"/>
  </sheets>
  <definedNames>
    <definedName name="_2018_2025_Demand_Growth">Calculations!$E$4</definedName>
    <definedName name="_2018_2025_V_C_Growth">Calculations!$E$10</definedName>
    <definedName name="_2018_2040_Demand_Growth">Calculations!$E$6</definedName>
    <definedName name="_2018_2040_V_C_Growth">Calculations!$E$12</definedName>
    <definedName name="_2018_Capacity">'Inputs &amp; Outputs'!$B$17</definedName>
    <definedName name="_2018_V_C_Ratio">Calculations!$E$7</definedName>
    <definedName name="_2018_Volume">'Inputs &amp; Outputs'!$B$16</definedName>
    <definedName name="_2025_2040_Demand_Growth">Calculations!$E$5</definedName>
    <definedName name="_2025_2040_V_C_Growth">Calculations!$E$11</definedName>
    <definedName name="_2025_Capacity">'Inputs &amp; Outputs'!$B$19</definedName>
    <definedName name="_2025_V_C_Ratio">Calculations!$E$8</definedName>
    <definedName name="_2025_Volume">'Inputs &amp; Outputs'!$B$18</definedName>
    <definedName name="_2040_Capacity">'Inputs &amp; Outputs'!$B$21</definedName>
    <definedName name="_2040_V_C_Ratio">Calculations!$E$9</definedName>
    <definedName name="_2040_Volume">'Inputs &amp; Outputs'!$B$20</definedName>
    <definedName name="Annual_Days_of_Travel">Calculations!#REF!</definedName>
    <definedName name="Application_ID_Number">'Inputs &amp; Outputs'!$B$7</definedName>
    <definedName name="Appropriate_Crash_Reduction_Factor">'Inputs &amp; Outputs'!$B$12</definedName>
    <definedName name="Avg_Death_Cnt">'Inputs &amp; Outputs'!$H$10</definedName>
    <definedName name="Avg_Incap_Injry_Cnt">'Inputs &amp; Outputs'!$H$11</definedName>
    <definedName name="Avg_Non_Injry_Cnt">'Inputs &amp; Outputs'!$H$14</definedName>
    <definedName name="Avg_Nonincap_Injry_Cnt">'Inputs &amp; Outputs'!$H$12</definedName>
    <definedName name="Avg_Poss_Injry_Cnt">'Inputs &amp; Outputs'!$H$13</definedName>
    <definedName name="Avg_Unkn_Injry_Cnt">'Inputs &amp; Outputs'!$H$15</definedName>
    <definedName name="Base_Year">Calculations!$B$4</definedName>
    <definedName name="Crash_Avg">'Inputs &amp; Outputs'!$H$10:$H$15</definedName>
    <definedName name="Crash_Hist_Reset">'CRASH SUM'!$C$10:$E$16</definedName>
    <definedName name="Crash_Hist_Tab">'CRASH SUM'!$C$2:$E$8</definedName>
    <definedName name="CRIS_Titles">'Inputs &amp; Outputs'!$D$10:$D$15</definedName>
    <definedName name="Discount_Rate">Calculations!#REF!</definedName>
    <definedName name="GDP_Deflator_Future">'Assumed Values'!$C$8</definedName>
    <definedName name="Name">'Inputs &amp; Outputs'!$B$6</definedName>
    <definedName name="Possible_Crash_Reductions">Calculations!$J$17:$J$23</definedName>
    <definedName name="Preventable_Crash_History">'Inputs &amp; Outputs'!$E$9:$G$15</definedName>
    <definedName name="_xlnm.Print_Area" localSheetId="6">'Assumed Values'!$B$2:$C$30</definedName>
    <definedName name="_xlnm.Print_Area" localSheetId="5">Calculations!$A$3:$S$37</definedName>
    <definedName name="_xlnm.Print_Area" localSheetId="2">'Emissions Reduction Worksheet'!$A$3:$K$33</definedName>
    <definedName name="_xlnm.Print_Area" localSheetId="3">'Inputs &amp; Outputs'!$A$3:$H$30</definedName>
    <definedName name="_xlnm.Print_Area" localSheetId="0">Instructions!$A$1:$G$12</definedName>
    <definedName name="_xlnm.Print_Area" localSheetId="1">'ITS Delay Worksheet'!$A$3:$J$33</definedName>
    <definedName name="Service_Life">'Inputs &amp; Outputs'!$B$13</definedName>
    <definedName name="Sponsor_ID_Number__CSJ__etc.">'Inputs &amp; Outputs'!$B$8</definedName>
    <definedName name="Value_of_Delay_Savings__2015_____000s">Calculations!$S$4:$S$36</definedName>
    <definedName name="Value_of_Statistical_Life_2015">'Value of Statistical Life'!$F$5:$F$11</definedName>
    <definedName name="Vehicle_Occupancy">Calculations!#REF!</definedName>
    <definedName name="Year_Open_to_Traffic?">'Inputs &amp; Outputs'!$B$11</definedName>
    <definedName name="Years_to_include_in_BCA_Analysis">Calculations!$B$5</definedName>
  </definedNames>
  <calcPr calcId="145621"/>
</workbook>
</file>

<file path=xl/calcChain.xml><?xml version="1.0" encoding="utf-8"?>
<calcChain xmlns="http://schemas.openxmlformats.org/spreadsheetml/2006/main">
  <c r="F5" i="9" l="1"/>
  <c r="F6" i="9"/>
  <c r="F7" i="9"/>
  <c r="F8" i="9"/>
  <c r="F9" i="9"/>
  <c r="F10" i="9"/>
  <c r="F11" i="9"/>
  <c r="H11" i="11"/>
  <c r="B5" i="12" l="1"/>
  <c r="I24" i="9"/>
  <c r="H24" i="9"/>
  <c r="G24" i="9"/>
  <c r="F24" i="9"/>
  <c r="E24" i="9"/>
  <c r="D24" i="9"/>
  <c r="E2" i="14" l="1"/>
  <c r="D2" i="14" s="1"/>
  <c r="C2" i="14" s="1"/>
  <c r="C4" i="14" s="1"/>
  <c r="E16" i="12"/>
  <c r="E22" i="12" s="1"/>
  <c r="H12" i="11"/>
  <c r="F16" i="12" s="1"/>
  <c r="F18" i="12" s="1"/>
  <c r="H13" i="11"/>
  <c r="G16" i="12" s="1"/>
  <c r="G21" i="12" s="1"/>
  <c r="H14" i="11"/>
  <c r="H16" i="12" s="1"/>
  <c r="H17" i="12" s="1"/>
  <c r="H15" i="11"/>
  <c r="I16" i="12" s="1"/>
  <c r="I17" i="12" s="1"/>
  <c r="H10" i="11"/>
  <c r="D16" i="12" s="1"/>
  <c r="D18" i="12" s="1"/>
  <c r="E9" i="12"/>
  <c r="E8" i="12"/>
  <c r="E7" i="12"/>
  <c r="O4" i="12" s="1"/>
  <c r="P4" i="12" s="1"/>
  <c r="E5" i="12"/>
  <c r="D19" i="1"/>
  <c r="D20" i="1"/>
  <c r="D18" i="1"/>
  <c r="E4" i="12"/>
  <c r="R4" i="12"/>
  <c r="E6" i="12"/>
  <c r="C6" i="14" l="1"/>
  <c r="D4" i="14"/>
  <c r="C5" i="14"/>
  <c r="D5" i="14"/>
  <c r="E3" i="14"/>
  <c r="C3" i="14"/>
  <c r="G18" i="12"/>
  <c r="I22" i="12"/>
  <c r="G23" i="12"/>
  <c r="F22" i="12"/>
  <c r="D17" i="12"/>
  <c r="H20" i="12"/>
  <c r="D20" i="12"/>
  <c r="H19" i="12"/>
  <c r="H21" i="12"/>
  <c r="H18" i="12"/>
  <c r="I19" i="12"/>
  <c r="I21" i="12"/>
  <c r="F23" i="12"/>
  <c r="E17" i="12"/>
  <c r="G17" i="12"/>
  <c r="F21" i="12"/>
  <c r="D19" i="12"/>
  <c r="G20" i="12"/>
  <c r="E23" i="12"/>
  <c r="E20" i="12"/>
  <c r="D21" i="12"/>
  <c r="D23" i="12"/>
  <c r="D22" i="12"/>
  <c r="F20" i="12"/>
  <c r="E19" i="12"/>
  <c r="H23" i="12"/>
  <c r="E18" i="12"/>
  <c r="H22" i="12"/>
  <c r="G22" i="12"/>
  <c r="I18" i="12"/>
  <c r="E21" i="12"/>
  <c r="I20" i="12"/>
  <c r="F17" i="12"/>
  <c r="G19" i="12"/>
  <c r="F19" i="12"/>
  <c r="I23" i="12"/>
  <c r="C7" i="14"/>
  <c r="E7" i="14"/>
  <c r="C8" i="14"/>
  <c r="E8" i="14"/>
  <c r="E6" i="14"/>
  <c r="D7" i="14"/>
  <c r="E4" i="14"/>
  <c r="D8" i="14"/>
  <c r="E5" i="14"/>
  <c r="D3" i="14"/>
  <c r="D6" i="14"/>
  <c r="N15" i="12"/>
  <c r="N33" i="12"/>
  <c r="N35" i="12"/>
  <c r="N32" i="12"/>
  <c r="N34" i="12"/>
  <c r="N36" i="12"/>
  <c r="N31" i="12"/>
  <c r="N30" i="12"/>
  <c r="N7" i="12"/>
  <c r="N24" i="12"/>
  <c r="N8" i="12"/>
  <c r="N17" i="12"/>
  <c r="N11" i="12"/>
  <c r="N28" i="12"/>
  <c r="N20" i="12"/>
  <c r="N5" i="12"/>
  <c r="N29" i="12"/>
  <c r="N21" i="12"/>
  <c r="N13" i="12"/>
  <c r="N16" i="12"/>
  <c r="N27" i="12"/>
  <c r="N25" i="12"/>
  <c r="N9" i="12"/>
  <c r="N26" i="12"/>
  <c r="N18" i="12"/>
  <c r="N10" i="12"/>
  <c r="N19" i="12"/>
  <c r="N12" i="12"/>
  <c r="N22" i="12"/>
  <c r="N14" i="12"/>
  <c r="N6" i="12"/>
  <c r="N23" i="12"/>
  <c r="E11" i="12"/>
  <c r="E10" i="12"/>
  <c r="E12" i="12"/>
  <c r="M5" i="12"/>
  <c r="R5" i="12" s="1"/>
  <c r="O5" i="12" l="1"/>
  <c r="P5" i="12" s="1"/>
  <c r="J18" i="12"/>
  <c r="J20" i="12"/>
  <c r="J19" i="12"/>
  <c r="J23" i="12"/>
  <c r="J17" i="12"/>
  <c r="J22" i="12"/>
  <c r="J21" i="12"/>
  <c r="M6" i="12"/>
  <c r="R6" i="12" s="1"/>
  <c r="O6" i="12" l="1"/>
  <c r="P6" i="12" s="1"/>
  <c r="M7" i="12"/>
  <c r="R7" i="12" s="1"/>
  <c r="C21" i="2"/>
  <c r="B18" i="5"/>
  <c r="E17" i="5" s="1"/>
  <c r="C22" i="2"/>
  <c r="B19" i="5" s="1"/>
  <c r="E18" i="5" s="1"/>
  <c r="G4" i="7"/>
  <c r="G4" i="5"/>
  <c r="G5" i="5" s="1"/>
  <c r="G6" i="5" s="1"/>
  <c r="G7" i="5" s="1"/>
  <c r="G8" i="5" s="1"/>
  <c r="G9" i="5" s="1"/>
  <c r="G10" i="5" s="1"/>
  <c r="G11" i="5" s="1"/>
  <c r="G12" i="5" s="1"/>
  <c r="G13" i="5" s="1"/>
  <c r="G14" i="5" s="1"/>
  <c r="H4" i="7"/>
  <c r="I4" i="7"/>
  <c r="B18" i="7"/>
  <c r="G5" i="7"/>
  <c r="H5" i="7" s="1"/>
  <c r="B17" i="7"/>
  <c r="B16" i="7"/>
  <c r="E17" i="7"/>
  <c r="O6" i="4"/>
  <c r="K6" i="4"/>
  <c r="I6" i="4"/>
  <c r="B5" i="4"/>
  <c r="C5" i="4"/>
  <c r="D5" i="4"/>
  <c r="E5" i="4"/>
  <c r="F5" i="4"/>
  <c r="P5" i="4" s="1"/>
  <c r="C8" i="2" s="1"/>
  <c r="G5" i="4"/>
  <c r="H5" i="4"/>
  <c r="B6" i="4"/>
  <c r="C6" i="4"/>
  <c r="D6" i="4"/>
  <c r="E6" i="4"/>
  <c r="F6" i="4"/>
  <c r="G6" i="4"/>
  <c r="H6" i="4"/>
  <c r="J5" i="4"/>
  <c r="K5" i="4"/>
  <c r="L5" i="4"/>
  <c r="M5" i="4"/>
  <c r="N5" i="4"/>
  <c r="I5" i="4"/>
  <c r="J6" i="4"/>
  <c r="L6" i="4"/>
  <c r="M6" i="4"/>
  <c r="N6" i="4"/>
  <c r="D12" i="1"/>
  <c r="E11" i="1"/>
  <c r="E8" i="1"/>
  <c r="E9" i="1"/>
  <c r="H6" i="1"/>
  <c r="E12" i="1"/>
  <c r="E5" i="1"/>
  <c r="H4" i="1" s="1"/>
  <c r="E4" i="1"/>
  <c r="H5" i="1" s="1"/>
  <c r="E6" i="1"/>
  <c r="E7" i="1"/>
  <c r="E10" i="1"/>
  <c r="H7" i="1" l="1"/>
  <c r="C21" i="1"/>
  <c r="J14" i="5"/>
  <c r="G15" i="5"/>
  <c r="H14" i="5"/>
  <c r="H10" i="5"/>
  <c r="G6" i="7"/>
  <c r="I5" i="7"/>
  <c r="O7" i="12"/>
  <c r="P7" i="12" s="1"/>
  <c r="D5" i="6"/>
  <c r="C20" i="2" s="1"/>
  <c r="B21" i="5" s="1"/>
  <c r="Q4" i="12"/>
  <c r="C11" i="2"/>
  <c r="M8" i="12"/>
  <c r="R8" i="12" s="1"/>
  <c r="H6" i="5"/>
  <c r="H11" i="5"/>
  <c r="D4" i="6"/>
  <c r="C19" i="2" s="1"/>
  <c r="B20" i="5" s="1"/>
  <c r="J5" i="5"/>
  <c r="J13" i="5"/>
  <c r="J11" i="5"/>
  <c r="J10" i="5"/>
  <c r="J9" i="5"/>
  <c r="J4" i="5"/>
  <c r="J12" i="5"/>
  <c r="J8" i="5"/>
  <c r="J7" i="5"/>
  <c r="J6" i="5"/>
  <c r="H12" i="5"/>
  <c r="H4" i="5"/>
  <c r="H13" i="5"/>
  <c r="H5" i="5"/>
  <c r="D21" i="1"/>
  <c r="C15" i="2" s="1"/>
  <c r="H7" i="5"/>
  <c r="H8" i="5"/>
  <c r="H9" i="5"/>
  <c r="S4" i="12" l="1"/>
  <c r="Q5" i="12"/>
  <c r="S5" i="12" s="1"/>
  <c r="I6" i="7"/>
  <c r="G7" i="7"/>
  <c r="H6" i="7"/>
  <c r="K4" i="5"/>
  <c r="H15" i="5"/>
  <c r="J15" i="5"/>
  <c r="G16" i="5"/>
  <c r="O8" i="12"/>
  <c r="O9" i="12" s="1"/>
  <c r="K10" i="5"/>
  <c r="K12" i="5"/>
  <c r="K15" i="5"/>
  <c r="K8" i="5"/>
  <c r="K14" i="5"/>
  <c r="K7" i="5"/>
  <c r="K5" i="5"/>
  <c r="K6" i="5"/>
  <c r="K13" i="5"/>
  <c r="K11" i="5"/>
  <c r="K9" i="5"/>
  <c r="I13" i="5"/>
  <c r="M9" i="12"/>
  <c r="R9" i="12" s="1"/>
  <c r="I7" i="5"/>
  <c r="I8" i="5"/>
  <c r="I10" i="5"/>
  <c r="I9" i="5"/>
  <c r="I14" i="5"/>
  <c r="I15" i="5"/>
  <c r="I12" i="5"/>
  <c r="I5" i="5"/>
  <c r="I6" i="5"/>
  <c r="I11" i="5"/>
  <c r="B19" i="7"/>
  <c r="I4" i="5"/>
  <c r="Q6" i="12" l="1"/>
  <c r="S6" i="12" s="1"/>
  <c r="G8" i="7"/>
  <c r="H7" i="7"/>
  <c r="I7" i="7"/>
  <c r="P8" i="12"/>
  <c r="H16" i="5"/>
  <c r="G17" i="5"/>
  <c r="J16" i="5"/>
  <c r="K16" i="5" s="1"/>
  <c r="O10" i="12"/>
  <c r="P9" i="12"/>
  <c r="M10" i="12"/>
  <c r="J7" i="7"/>
  <c r="J6" i="7"/>
  <c r="J5" i="7"/>
  <c r="J4" i="7"/>
  <c r="Q7" i="12" l="1"/>
  <c r="S7" i="12" s="1"/>
  <c r="G18" i="5"/>
  <c r="H17" i="5"/>
  <c r="I17" i="5" s="1"/>
  <c r="J17" i="5"/>
  <c r="K17" i="5" s="1"/>
  <c r="I16" i="5"/>
  <c r="H8" i="7"/>
  <c r="I8" i="7"/>
  <c r="J8" i="7" s="1"/>
  <c r="G9" i="7"/>
  <c r="R10" i="12"/>
  <c r="O11" i="12"/>
  <c r="P10" i="12"/>
  <c r="M11" i="12"/>
  <c r="B11" i="7"/>
  <c r="B12" i="7" s="1"/>
  <c r="Q8" i="12" l="1"/>
  <c r="S8" i="12" s="1"/>
  <c r="H9" i="7"/>
  <c r="I9" i="7"/>
  <c r="J9" i="7" s="1"/>
  <c r="G10" i="7"/>
  <c r="G19" i="5"/>
  <c r="J18" i="5"/>
  <c r="K18" i="5" s="1"/>
  <c r="H18" i="5"/>
  <c r="R11" i="12"/>
  <c r="P11" i="12"/>
  <c r="O12" i="12"/>
  <c r="M12" i="12"/>
  <c r="Q9" i="12" l="1"/>
  <c r="S9" i="12" s="1"/>
  <c r="G11" i="7"/>
  <c r="H10" i="7"/>
  <c r="I10" i="7" s="1"/>
  <c r="J10" i="7" s="1"/>
  <c r="I18" i="5"/>
  <c r="G20" i="5"/>
  <c r="H19" i="5"/>
  <c r="I19" i="5" s="1"/>
  <c r="J19" i="5"/>
  <c r="K19" i="5" s="1"/>
  <c r="R12" i="12"/>
  <c r="O13" i="12"/>
  <c r="P12" i="12"/>
  <c r="M13" i="12"/>
  <c r="Q10" i="12" l="1"/>
  <c r="S10" i="12" s="1"/>
  <c r="H11" i="7"/>
  <c r="G12" i="7"/>
  <c r="I11" i="7"/>
  <c r="J11" i="7" s="1"/>
  <c r="H20" i="5"/>
  <c r="J20" i="5"/>
  <c r="K20" i="5" s="1"/>
  <c r="G21" i="5"/>
  <c r="R13" i="12"/>
  <c r="O14" i="12"/>
  <c r="P13" i="12"/>
  <c r="M14" i="12"/>
  <c r="Q11" i="12" l="1"/>
  <c r="S11" i="12" s="1"/>
  <c r="H12" i="7"/>
  <c r="I12" i="7" s="1"/>
  <c r="J12" i="7" s="1"/>
  <c r="G13" i="7"/>
  <c r="J21" i="5"/>
  <c r="K21" i="5" s="1"/>
  <c r="G22" i="5"/>
  <c r="H21" i="5"/>
  <c r="I21" i="5" s="1"/>
  <c r="I20" i="5"/>
  <c r="R14" i="12"/>
  <c r="O15" i="12"/>
  <c r="P14" i="12"/>
  <c r="M15" i="12"/>
  <c r="Q12" i="12" l="1"/>
  <c r="Q13" i="12" s="1"/>
  <c r="S13" i="12" s="1"/>
  <c r="J22" i="5"/>
  <c r="K22" i="5" s="1"/>
  <c r="H22" i="5"/>
  <c r="G23" i="5"/>
  <c r="H13" i="7"/>
  <c r="I13" i="7" s="1"/>
  <c r="J13" i="7" s="1"/>
  <c r="G14" i="7"/>
  <c r="R15" i="12"/>
  <c r="O16" i="12"/>
  <c r="P15" i="12"/>
  <c r="M16" i="12"/>
  <c r="Q14" i="12" l="1"/>
  <c r="S14" i="12" s="1"/>
  <c r="S12" i="12"/>
  <c r="G15" i="7"/>
  <c r="H14" i="7"/>
  <c r="I14" i="7" s="1"/>
  <c r="J14" i="7" s="1"/>
  <c r="I22" i="5"/>
  <c r="H23" i="5"/>
  <c r="I23" i="5" s="1"/>
  <c r="J23" i="5"/>
  <c r="K23" i="5" s="1"/>
  <c r="G24" i="5"/>
  <c r="R16" i="12"/>
  <c r="O17" i="12"/>
  <c r="P16" i="12"/>
  <c r="M17" i="12"/>
  <c r="Q15" i="12" l="1"/>
  <c r="S15" i="12" s="1"/>
  <c r="G16" i="7"/>
  <c r="H15" i="7"/>
  <c r="I15" i="7" s="1"/>
  <c r="J15" i="7" s="1"/>
  <c r="H24" i="5"/>
  <c r="I24" i="5" s="1"/>
  <c r="G25" i="5"/>
  <c r="J24" i="5"/>
  <c r="K24" i="5" s="1"/>
  <c r="B11" i="5" s="1"/>
  <c r="B12" i="5" s="1"/>
  <c r="R17" i="12"/>
  <c r="O18" i="12"/>
  <c r="P17" i="12"/>
  <c r="M18" i="12"/>
  <c r="Q16" i="12" l="1"/>
  <c r="S16" i="12" s="1"/>
  <c r="G26" i="5"/>
  <c r="H25" i="5"/>
  <c r="I25" i="5" s="1"/>
  <c r="J25" i="5"/>
  <c r="K25" i="5" s="1"/>
  <c r="H16" i="7"/>
  <c r="I16" i="7"/>
  <c r="J16" i="7" s="1"/>
  <c r="G17" i="7"/>
  <c r="R18" i="12"/>
  <c r="O19" i="12"/>
  <c r="P18" i="12"/>
  <c r="M19" i="12"/>
  <c r="Q17" i="12" l="1"/>
  <c r="S17" i="12" s="1"/>
  <c r="H17" i="7"/>
  <c r="I17" i="7" s="1"/>
  <c r="J17" i="7" s="1"/>
  <c r="G18" i="7"/>
  <c r="G27" i="5"/>
  <c r="H26" i="5"/>
  <c r="I26" i="5" s="1"/>
  <c r="J26" i="5"/>
  <c r="K26" i="5" s="1"/>
  <c r="R19" i="12"/>
  <c r="O20" i="12"/>
  <c r="P19" i="12"/>
  <c r="M20" i="12"/>
  <c r="Q18" i="12" l="1"/>
  <c r="S18" i="12" s="1"/>
  <c r="G28" i="5"/>
  <c r="H27" i="5"/>
  <c r="I27" i="5" s="1"/>
  <c r="J27" i="5"/>
  <c r="K27" i="5" s="1"/>
  <c r="G19" i="7"/>
  <c r="H18" i="7"/>
  <c r="I18" i="7" s="1"/>
  <c r="J18" i="7" s="1"/>
  <c r="R20" i="12"/>
  <c r="O21" i="12"/>
  <c r="P20" i="12"/>
  <c r="M21" i="12"/>
  <c r="Q19" i="12" l="1"/>
  <c r="S19" i="12" s="1"/>
  <c r="H19" i="7"/>
  <c r="G20" i="7"/>
  <c r="I19" i="7"/>
  <c r="J19" i="7" s="1"/>
  <c r="H28" i="5"/>
  <c r="I28" i="5" s="1"/>
  <c r="J28" i="5"/>
  <c r="K28" i="5" s="1"/>
  <c r="G29" i="5"/>
  <c r="R21" i="12"/>
  <c r="O22" i="12"/>
  <c r="P21" i="12"/>
  <c r="M22" i="12"/>
  <c r="Q20" i="12" l="1"/>
  <c r="S20" i="12" s="1"/>
  <c r="J29" i="5"/>
  <c r="K29" i="5" s="1"/>
  <c r="H29" i="5"/>
  <c r="H20" i="7"/>
  <c r="I20" i="7"/>
  <c r="J20" i="7" s="1"/>
  <c r="G21" i="7"/>
  <c r="R22" i="12"/>
  <c r="O23" i="12"/>
  <c r="P22" i="12"/>
  <c r="M23" i="12"/>
  <c r="Q21" i="12" l="1"/>
  <c r="S21" i="12" s="1"/>
  <c r="I29" i="5"/>
  <c r="B13" i="5"/>
  <c r="H21" i="7"/>
  <c r="I21" i="7"/>
  <c r="J21" i="7" s="1"/>
  <c r="G22" i="7"/>
  <c r="R23" i="12"/>
  <c r="O24" i="12"/>
  <c r="P23" i="12"/>
  <c r="M24" i="12"/>
  <c r="Q22" i="12" l="1"/>
  <c r="Q23" i="12" s="1"/>
  <c r="S23" i="12" s="1"/>
  <c r="G23" i="7"/>
  <c r="H22" i="7"/>
  <c r="I22" i="7" s="1"/>
  <c r="J22" i="7" s="1"/>
  <c r="R24" i="12"/>
  <c r="O25" i="12"/>
  <c r="P24" i="12"/>
  <c r="M25" i="12"/>
  <c r="S22" i="12" l="1"/>
  <c r="Q24" i="12"/>
  <c r="S24" i="12" s="1"/>
  <c r="G24" i="7"/>
  <c r="H23" i="7"/>
  <c r="I23" i="7" s="1"/>
  <c r="J23" i="7" s="1"/>
  <c r="R25" i="12"/>
  <c r="O26" i="12"/>
  <c r="P25" i="12"/>
  <c r="M26" i="12"/>
  <c r="Q25" i="12" l="1"/>
  <c r="S25" i="12" s="1"/>
  <c r="H24" i="7"/>
  <c r="I24" i="7" s="1"/>
  <c r="J24" i="7" s="1"/>
  <c r="G25" i="7"/>
  <c r="R26" i="12"/>
  <c r="O27" i="12"/>
  <c r="P26" i="12"/>
  <c r="M27" i="12"/>
  <c r="Q26" i="12" l="1"/>
  <c r="S26" i="12" s="1"/>
  <c r="H25" i="7"/>
  <c r="I25" i="7"/>
  <c r="J25" i="7" s="1"/>
  <c r="G26" i="7"/>
  <c r="R27" i="12"/>
  <c r="O28" i="12"/>
  <c r="P27" i="12"/>
  <c r="M28" i="12"/>
  <c r="Q27" i="12" l="1"/>
  <c r="S27" i="12" s="1"/>
  <c r="G27" i="7"/>
  <c r="H26" i="7"/>
  <c r="I26" i="7" s="1"/>
  <c r="J26" i="7" s="1"/>
  <c r="R28" i="12"/>
  <c r="O29" i="12"/>
  <c r="P28" i="12"/>
  <c r="M29" i="12"/>
  <c r="Q28" i="12" l="1"/>
  <c r="S28" i="12" s="1"/>
  <c r="H27" i="7"/>
  <c r="G28" i="7"/>
  <c r="I27" i="7"/>
  <c r="J27" i="7" s="1"/>
  <c r="P29" i="12"/>
  <c r="O30" i="12"/>
  <c r="M30" i="12"/>
  <c r="R29" i="12"/>
  <c r="Q29" i="12" l="1"/>
  <c r="S29" i="12" s="1"/>
  <c r="G29" i="7"/>
  <c r="H28" i="7"/>
  <c r="I28" i="7" s="1"/>
  <c r="J28" i="7" s="1"/>
  <c r="P30" i="12"/>
  <c r="O31" i="12"/>
  <c r="R30" i="12"/>
  <c r="M31" i="12"/>
  <c r="M32" i="12" s="1"/>
  <c r="Q30" i="12" l="1"/>
  <c r="S30" i="12" s="1"/>
  <c r="H29" i="7"/>
  <c r="I29" i="7"/>
  <c r="J29" i="7" s="1"/>
  <c r="M33" i="12"/>
  <c r="R32" i="12"/>
  <c r="P31" i="12"/>
  <c r="O32" i="12"/>
  <c r="R31" i="12"/>
  <c r="Q31" i="12" l="1"/>
  <c r="S31" i="12" s="1"/>
  <c r="M34" i="12"/>
  <c r="R33" i="12"/>
  <c r="P32" i="12"/>
  <c r="O33" i="12"/>
  <c r="Q32" i="12" l="1"/>
  <c r="S32" i="12" s="1"/>
  <c r="R34" i="12"/>
  <c r="M35" i="12"/>
  <c r="P33" i="12"/>
  <c r="O34" i="12"/>
  <c r="Q33" i="12" l="1"/>
  <c r="S33" i="12" s="1"/>
  <c r="M36" i="12"/>
  <c r="R35" i="12"/>
  <c r="P34" i="12"/>
  <c r="O35" i="12"/>
  <c r="Q34" i="12" l="1"/>
  <c r="S34" i="12" s="1"/>
  <c r="R36" i="12"/>
  <c r="P35" i="12"/>
  <c r="O36" i="12"/>
  <c r="P36" i="12" s="1"/>
  <c r="Q35" i="12" l="1"/>
  <c r="Q36" i="12" s="1"/>
  <c r="S36" i="12" s="1"/>
  <c r="S35" i="12" l="1"/>
  <c r="B30" i="11" s="1"/>
  <c r="B29" i="11"/>
</calcChain>
</file>

<file path=xl/sharedStrings.xml><?xml version="1.0" encoding="utf-8"?>
<sst xmlns="http://schemas.openxmlformats.org/spreadsheetml/2006/main" count="1541" uniqueCount="364">
  <si>
    <t>Home</t>
  </si>
  <si>
    <t>Work</t>
  </si>
  <si>
    <t>Non-Work</t>
  </si>
  <si>
    <t>Non-Home</t>
  </si>
  <si>
    <t>Truck</t>
  </si>
  <si>
    <t>Taxi</t>
  </si>
  <si>
    <t>External Auto</t>
  </si>
  <si>
    <t>Personal</t>
  </si>
  <si>
    <t>Business</t>
  </si>
  <si>
    <t>Weighted Average:</t>
  </si>
  <si>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</si>
  <si>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</si>
  <si>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</si>
  <si>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</si>
  <si>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</si>
  <si>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</si>
  <si>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</si>
  <si>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</si>
  <si>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</si>
  <si>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</si>
  <si>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</si>
  <si>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</si>
  <si>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</si>
  <si>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</si>
  <si>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</si>
  <si>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</si>
  <si>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</si>
  <si>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</si>
  <si>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</si>
  <si>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</si>
  <si>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</si>
  <si>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</si>
  <si>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</si>
  <si>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</si>
  <si>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</si>
  <si>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</si>
  <si>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</si>
  <si>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</si>
  <si>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</si>
  <si>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GDP Deflators</t>
  </si>
  <si>
    <t>Bureau of Economic Analysis, See Table 1.1.9. Implicit Price Deflators for Gross Domestic Product</t>
  </si>
  <si>
    <t>http://www.bea.gov/iTable/iTable.cfm?ReqID=9&amp;step=1</t>
  </si>
  <si>
    <r>
      <t xml:space="preserve"> </t>
    </r>
    <r>
      <rPr>
        <b/>
        <sz val="9"/>
        <color indexed="8"/>
        <rFont val="Calibri"/>
        <family val="2"/>
        <scheme val="minor"/>
      </rPr>
      <t>Gross domestic product</t>
    </r>
    <r>
      <rPr>
        <sz val="9"/>
        <rFont val="Calibri"/>
        <family val="2"/>
        <scheme val="minor"/>
      </rPr>
      <t xml:space="preserve"> </t>
    </r>
  </si>
  <si>
    <r>
      <t xml:space="preserve"> </t>
    </r>
    <r>
      <rPr>
        <b/>
        <sz val="9"/>
        <color indexed="8"/>
        <rFont val="Calibri"/>
        <family val="2"/>
        <scheme val="minor"/>
      </rPr>
      <t>Deflator to Next Year</t>
    </r>
    <r>
      <rPr>
        <sz val="9"/>
        <color theme="1"/>
        <rFont val="Calibri"/>
        <family val="2"/>
        <scheme val="minor"/>
      </rPr>
      <t xml:space="preserve"> </t>
    </r>
  </si>
  <si>
    <r>
      <t xml:space="preserve"> </t>
    </r>
    <r>
      <rPr>
        <b/>
        <sz val="9"/>
        <color indexed="8"/>
        <rFont val="Calibri"/>
        <family val="2"/>
        <scheme val="minor"/>
      </rPr>
      <t>Deflator to 2012</t>
    </r>
  </si>
  <si>
    <t>See "GDP Deflators" tab</t>
  </si>
  <si>
    <t>Applicable Project Life</t>
  </si>
  <si>
    <t>See Texas Guide to Accepted Mobile Source Emission Reduction Strategies (MOSER), page A.8.9</t>
  </si>
  <si>
    <t>Value of Emissions, TIGER BCA Resource Guide</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</si>
  <si>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</si>
  <si>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</si>
  <si>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</si>
  <si>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</si>
  <si>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</si>
  <si>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</si>
  <si>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</si>
  <si>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</si>
  <si>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</si>
  <si>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</si>
  <si>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</si>
  <si>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</si>
  <si>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</si>
  <si>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</si>
  <si>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</si>
  <si>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</si>
  <si>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</si>
  <si>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2013 $ per person-hour)</t>
  </si>
  <si>
    <t>Discounted Delay Benefits (2015 $, '000s)</t>
  </si>
  <si>
    <t>Year Open to Traffic?</t>
  </si>
  <si>
    <t>2040 Volume</t>
  </si>
  <si>
    <t>2040 Capacity</t>
  </si>
  <si>
    <t>Total Cost (2015 $, '000s)</t>
  </si>
  <si>
    <t>Federal Funding Req. (2015 $, '000s)</t>
  </si>
  <si>
    <t>Value of Delay Savings (2013 $, '000s)</t>
  </si>
  <si>
    <t>Person Trips by Purpose, H-GAC Regional Travel Demand Model (2040 RTP - 2010 Census Data &amp; Household Survey)</t>
  </si>
  <si>
    <t>Cargo</t>
  </si>
  <si>
    <t>Service</t>
  </si>
  <si>
    <t>$ / metric ton ($2013)</t>
  </si>
  <si>
    <t>Value of VOC Savings (2013 $, '000s)</t>
  </si>
  <si>
    <t>Value of NOx Savings (2013 $, '000s)</t>
  </si>
  <si>
    <t>Discounted Emissions Benefits (2015 $, '000s)</t>
  </si>
  <si>
    <t>Annualized Cost Effectiveness (2015 $, '000s/tonne)</t>
  </si>
  <si>
    <t>10 Yr Avg</t>
  </si>
  <si>
    <t>2015 $ per person-hour)</t>
  </si>
  <si>
    <t>Value of Travel Time (VoTT), 2015 $</t>
  </si>
  <si>
    <t>$ / metric ton ($2015)</t>
  </si>
  <si>
    <t>Volatile Organic Compounds (VOCs), $ / metric ton (2015 $)</t>
  </si>
  <si>
    <t>Nitrogen oxides (NOx), $ / metric ton (2015 $)</t>
  </si>
  <si>
    <t>Value of Delay Savings (2015 $, '000s)</t>
  </si>
  <si>
    <t>Years to include in BCA Analysis</t>
  </si>
  <si>
    <t>2040 V/C Ratio</t>
  </si>
  <si>
    <t>3% and 7%</t>
  </si>
  <si>
    <t>Safety Analysis Values:</t>
  </si>
  <si>
    <t>Value of Statistical Life (VSL), 2015 $</t>
  </si>
  <si>
    <t>AIS Level</t>
  </si>
  <si>
    <t>Severity</t>
  </si>
  <si>
    <t>Fraction of VSL</t>
  </si>
  <si>
    <t>Unit value ($2013)</t>
  </si>
  <si>
    <t>AIS 1</t>
  </si>
  <si>
    <t>Minor</t>
  </si>
  <si>
    <t>AIS 2</t>
  </si>
  <si>
    <t>Moderate</t>
  </si>
  <si>
    <t>AIS 3</t>
  </si>
  <si>
    <t>Serious</t>
  </si>
  <si>
    <t>AIS 4</t>
  </si>
  <si>
    <t>Severe</t>
  </si>
  <si>
    <t>AIS 5</t>
  </si>
  <si>
    <t>Critical</t>
  </si>
  <si>
    <t>AIS 6</t>
  </si>
  <si>
    <t>Unsurvivable</t>
  </si>
  <si>
    <t>Unit value ($2015)</t>
  </si>
  <si>
    <t>Values for non-fatal injuries provided in "Value of Statistical Life" tab.</t>
  </si>
  <si>
    <t>2025 Volume</t>
  </si>
  <si>
    <t>2025 Capacity</t>
  </si>
  <si>
    <t>2025 V/C Ratio</t>
  </si>
  <si>
    <t>2018 V/C Ratio</t>
  </si>
  <si>
    <t>2018-2025 Demand Growth</t>
  </si>
  <si>
    <t>2025-2040 Demand Growth</t>
  </si>
  <si>
    <t>Application ID Number:</t>
  </si>
  <si>
    <t>Sponsor ID Number (CSJ, etc.):</t>
  </si>
  <si>
    <t>Daily Travel Demand</t>
  </si>
  <si>
    <t>2018-2040 Demand Growth</t>
  </si>
  <si>
    <t>2018-2025 V/C Growth</t>
  </si>
  <si>
    <t>2025-2040 V/C Growth</t>
  </si>
  <si>
    <t>2018-2040 V/C Growth</t>
  </si>
  <si>
    <t>Use in Analysis?</t>
  </si>
  <si>
    <t>Demand Growth</t>
  </si>
  <si>
    <t>2018 Volume</t>
  </si>
  <si>
    <t>2018 Capacity</t>
  </si>
  <si>
    <t>Benefit Cap</t>
  </si>
  <si>
    <t>Real wage growth rate</t>
  </si>
  <si>
    <t>n/a</t>
  </si>
  <si>
    <t>2015-2018 TIP Call For Projects - Benefit-Cost Analysis Assumptions*</t>
  </si>
  <si>
    <t>Future Capital Costs Nominal-to-Real Conversion Rate</t>
  </si>
  <si>
    <t>Historic Capital Costs Nominal-to-Real Conversion Rates</t>
  </si>
  <si>
    <t>Value of Travel Time, TIGER BCA Resource Guide (2014)</t>
  </si>
  <si>
    <t>Value of Injuries, TIGER BCA Resource Guide (2014)</t>
  </si>
  <si>
    <t>Benefit Results</t>
  </si>
  <si>
    <t>INPUTS</t>
  </si>
  <si>
    <t>OUTPUTS</t>
  </si>
  <si>
    <t>Mon</t>
  </si>
  <si>
    <t>N</t>
  </si>
  <si>
    <t>Y</t>
  </si>
  <si>
    <t>RD</t>
  </si>
  <si>
    <t>Sat</t>
  </si>
  <si>
    <t>Death_Cnt</t>
  </si>
  <si>
    <t>Tot_Injry_Cnt</t>
  </si>
  <si>
    <t>Unkn_Injry_Cnt</t>
  </si>
  <si>
    <t>Non_Injry_Cnt</t>
  </si>
  <si>
    <t>Poss_Injry_Cnt</t>
  </si>
  <si>
    <t>Nonincap_Injry_Cnt</t>
  </si>
  <si>
    <t>Incap_Injry_Cnt</t>
  </si>
  <si>
    <t>Yield</t>
  </si>
  <si>
    <t>Standstop</t>
  </si>
  <si>
    <t>WDCode_ID</t>
  </si>
  <si>
    <t>Poscrossing_ID</t>
  </si>
  <si>
    <t>RRCo</t>
  </si>
  <si>
    <t>CrossingNumber</t>
  </si>
  <si>
    <t>Bridge_IR_Struct_Func_ID</t>
  </si>
  <si>
    <t>Bridge_Rte_Struct_Func_ID</t>
  </si>
  <si>
    <t>Bridge_Dir_Of_Traffic_ID</t>
  </si>
  <si>
    <t>Deck_Width</t>
  </si>
  <si>
    <t>Roadway_Width</t>
  </si>
  <si>
    <t>Culvert_Type_ID</t>
  </si>
  <si>
    <t>Bridge_Srvc_Type_Under_ID</t>
  </si>
  <si>
    <t>Bridge_Srvc_Type_On_ID</t>
  </si>
  <si>
    <t>Bridge_Loading_In_1000_Lbs</t>
  </si>
  <si>
    <t>Bridge_Loading_Type_ID</t>
  </si>
  <si>
    <t>Bridge_Median_ID</t>
  </si>
  <si>
    <t>Approach_Width</t>
  </si>
  <si>
    <t>I_R_Min_Vert_Clear</t>
  </si>
  <si>
    <t>Structure_Number</t>
  </si>
  <si>
    <t>Feature_Crossed</t>
  </si>
  <si>
    <t>Dd_Degr</t>
  </si>
  <si>
    <t>Delta_Left_Right_ID</t>
  </si>
  <si>
    <t>Cd_Degr</t>
  </si>
  <si>
    <t>Curve_Lngth</t>
  </si>
  <si>
    <t>Curve_Type_ID</t>
  </si>
  <si>
    <t>Trk_Aadt_Pct</t>
  </si>
  <si>
    <t>Pct_Combo_Trk_Adt</t>
  </si>
  <si>
    <t>Pct_Single_Trk_Adt</t>
  </si>
  <si>
    <t>Adt_Adj_Curnt_Amt</t>
  </si>
  <si>
    <t>Adt_Curnt_Year</t>
  </si>
  <si>
    <t>Adt_Curnt_Amt</t>
  </si>
  <si>
    <t>Func_Sys_ID</t>
  </si>
  <si>
    <t>Rural_Urban_Type_ID</t>
  </si>
  <si>
    <t>Median_Width</t>
  </si>
  <si>
    <t>Median_Type_ID</t>
  </si>
  <si>
    <t>Shldr_Use_Right_ID</t>
  </si>
  <si>
    <t>Shldr_Width_Right</t>
  </si>
  <si>
    <t>Shldr_Type_Right_ID</t>
  </si>
  <si>
    <t>Shldr_Use_Left_ID</t>
  </si>
  <si>
    <t>Shldr_Width_Left</t>
  </si>
  <si>
    <t>Shldr_Type_Left_ID</t>
  </si>
  <si>
    <t>Curb_Type_Right_ID</t>
  </si>
  <si>
    <t>Curb_Type_Left_ID</t>
  </si>
  <si>
    <t>Surf_Type_ID</t>
  </si>
  <si>
    <t>Surf_Width</t>
  </si>
  <si>
    <t>Roadbed_Width</t>
  </si>
  <si>
    <t>Row_Width_Usual</t>
  </si>
  <si>
    <t>Nbr_Of_Lane</t>
  </si>
  <si>
    <t>Base_Type_ID</t>
  </si>
  <si>
    <t>Hp_Median_Width</t>
  </si>
  <si>
    <t>Hp_Shldr_Right</t>
  </si>
  <si>
    <t>Hp_Shldr_Left</t>
  </si>
  <si>
    <t>Hwy_Dsgn_Hrt_ID</t>
  </si>
  <si>
    <t>Hwy_Dsgn_Lane_ID</t>
  </si>
  <si>
    <t>Day_of_Week</t>
  </si>
  <si>
    <t>Located_Fl</t>
  </si>
  <si>
    <t>Pop_Group_ID</t>
  </si>
  <si>
    <t>Crash_Sev_ID</t>
  </si>
  <si>
    <t>Rural_Fl</t>
  </si>
  <si>
    <t>Onsys_Fl</t>
  </si>
  <si>
    <t>Txdot_Rptable_Fl</t>
  </si>
  <si>
    <t>Milepoint_2</t>
  </si>
  <si>
    <t>Section_2</t>
  </si>
  <si>
    <t>Control_2</t>
  </si>
  <si>
    <t>Street_Nbr_2</t>
  </si>
  <si>
    <t>Street_Name_2</t>
  </si>
  <si>
    <t>Hwy_Sfx_2</t>
  </si>
  <si>
    <t>Hwy_Nbr_2</t>
  </si>
  <si>
    <t>Hwy_Sys_2</t>
  </si>
  <si>
    <t>Ref_Mark_Displ</t>
  </si>
  <si>
    <t>Ref_Mark_Nbr</t>
  </si>
  <si>
    <t>Milepoint</t>
  </si>
  <si>
    <t>Section</t>
  </si>
  <si>
    <t>Control</t>
  </si>
  <si>
    <t>Street_Nbr</t>
  </si>
  <si>
    <t>Street_Name</t>
  </si>
  <si>
    <t>Dfo</t>
  </si>
  <si>
    <t>Hwy_Sfx</t>
  </si>
  <si>
    <t>Hwy_Nbr</t>
  </si>
  <si>
    <t>Hwy_Sys</t>
  </si>
  <si>
    <t>Longitude</t>
  </si>
  <si>
    <t>Latitude</t>
  </si>
  <si>
    <t>City_ID</t>
  </si>
  <si>
    <t>Cnty_ID</t>
  </si>
  <si>
    <t>Phys_Featr_2_ID</t>
  </si>
  <si>
    <t>Phys_Featr_1_ID</t>
  </si>
  <si>
    <t>Road_Relat_ID</t>
  </si>
  <si>
    <t>Road_Cls_ID</t>
  </si>
  <si>
    <t>Road_Part_Adj_ID</t>
  </si>
  <si>
    <t>Othr_Factr_ID</t>
  </si>
  <si>
    <t>Obj_Struck_ID</t>
  </si>
  <si>
    <t>FHE_Collsn_ID</t>
  </si>
  <si>
    <t>Intrsct_Relat_ID</t>
  </si>
  <si>
    <t>Harm_Evnt_ID</t>
  </si>
  <si>
    <t>Bridge_Detail_ID</t>
  </si>
  <si>
    <t>Investigat_Agency_ID</t>
  </si>
  <si>
    <t>Traffic_Cntl_ID</t>
  </si>
  <si>
    <t>Surf_Cond_ID</t>
  </si>
  <si>
    <t>Road_Algn_ID</t>
  </si>
  <si>
    <t>Road_Type_ID</t>
  </si>
  <si>
    <t>Entr_Road_ID</t>
  </si>
  <si>
    <t>Light_Cond_ID</t>
  </si>
  <si>
    <t>Wthr_Cond_ID</t>
  </si>
  <si>
    <t>Rpt_CrossingNumber</t>
  </si>
  <si>
    <t>Rpt_Ref_Mark_Nbr</t>
  </si>
  <si>
    <t>Rpt_Ref_Mark_Dir</t>
  </si>
  <si>
    <t>Rpt_Ref_Mark_Dist_Uom</t>
  </si>
  <si>
    <t>Rpt_Ref_Mark_Offset_Amt</t>
  </si>
  <si>
    <t>Rpt_Sec_Street_Sfx</t>
  </si>
  <si>
    <t>Rpt_Sec_Street_Name</t>
  </si>
  <si>
    <t>Rpt_Sec_Street_Pfx</t>
  </si>
  <si>
    <t>Rpt_Sec_Block_Num</t>
  </si>
  <si>
    <t>Rpt_Sec_Road_Part_ID</t>
  </si>
  <si>
    <t>Rpt_Sec_Hwy_Sfx</t>
  </si>
  <si>
    <t>Rpt_Sec_Hwy_Num</t>
  </si>
  <si>
    <t>Rpt_Sec_Rdwy_Sys_ID</t>
  </si>
  <si>
    <t>At_Intrsct_Fl</t>
  </si>
  <si>
    <t>Road_Constr_Zone_Wrkr_Fl</t>
  </si>
  <si>
    <t>Road_Constr_Zone_Fl</t>
  </si>
  <si>
    <t>Crash_Speed_Limit</t>
  </si>
  <si>
    <t>Toll_Road_Fl</t>
  </si>
  <si>
    <t>Private_Dr_Fl</t>
  </si>
  <si>
    <t>Rpt_Street_Sfx</t>
  </si>
  <si>
    <t>Rpt_Street_Name</t>
  </si>
  <si>
    <t>Rpt_Street_Pfx</t>
  </si>
  <si>
    <t>Rpt_Block_Num</t>
  </si>
  <si>
    <t>Rpt_Road_Part_ID</t>
  </si>
  <si>
    <t>Rpt_Hwy_Sfx</t>
  </si>
  <si>
    <t>Rpt_Hwy_Num</t>
  </si>
  <si>
    <t>Rpt_Rdwy_Sys_ID</t>
  </si>
  <si>
    <t>Rpt_Longitude</t>
  </si>
  <si>
    <t>Rpt_Latitude</t>
  </si>
  <si>
    <t>Thousand_Damage_Fl</t>
  </si>
  <si>
    <t>Rpt_Outside_City_Limit_Fl</t>
  </si>
  <si>
    <t>Rpt_City_ID</t>
  </si>
  <si>
    <t>Rpt_CRIS_Cnty_ID</t>
  </si>
  <si>
    <t>Case_ID</t>
  </si>
  <si>
    <t>Crash_Time</t>
  </si>
  <si>
    <t>Crash_Date</t>
  </si>
  <si>
    <t>Active_School_Zone_Fl</t>
  </si>
  <si>
    <t>Amend_Supp_Fl</t>
  </si>
  <si>
    <t>Medical_Advisory_Fl</t>
  </si>
  <si>
    <t>Rr_Relat_Fl</t>
  </si>
  <si>
    <t>Schl_Bus_Fl</t>
  </si>
  <si>
    <t>Cmv_Involv_Fl</t>
  </si>
  <si>
    <t>Crash_Fatal_Fl</t>
  </si>
  <si>
    <t>Crash_ID</t>
  </si>
  <si>
    <t>Preventable Crash History</t>
  </si>
  <si>
    <t>Year 1</t>
  </si>
  <si>
    <t>Year 3</t>
  </si>
  <si>
    <t>Year 2</t>
  </si>
  <si>
    <t>Average</t>
  </si>
  <si>
    <t>Discounted Safety Benefits @ 7% (2015 $, '000s)</t>
  </si>
  <si>
    <t>Discounted Safety Benefits @ 3% (2015 $, '000s)</t>
  </si>
  <si>
    <t>Import from Crash History Data Tab?</t>
  </si>
  <si>
    <t>Improvement Information</t>
  </si>
  <si>
    <t>Project Identification</t>
  </si>
  <si>
    <t>Blank for reset…</t>
  </si>
  <si>
    <t>AIS 0</t>
  </si>
  <si>
    <t>No Injuries</t>
  </si>
  <si>
    <t>Sum(Prob)</t>
  </si>
  <si>
    <t>CRIS Data Conversion to AIS, TIGER BCA Resource Guide (2014)</t>
  </si>
  <si>
    <t>Crash Data on Abbreviated Injury Scale (AIS)</t>
  </si>
  <si>
    <t>Sum</t>
  </si>
  <si>
    <t>Potential Value of Crash Savings (2015 $)</t>
  </si>
  <si>
    <r>
      <t xml:space="preserve">Year Open to Traffic? </t>
    </r>
    <r>
      <rPr>
        <b/>
        <sz val="11"/>
        <color theme="1"/>
        <rFont val="Calibri"/>
        <family val="2"/>
        <scheme val="minor"/>
      </rPr>
      <t>(Must be &gt;=2018)</t>
    </r>
  </si>
  <si>
    <t>Service Life (years):</t>
  </si>
  <si>
    <t>Appropriate Crash Reduction Factor (%):</t>
  </si>
  <si>
    <t>N/A</t>
  </si>
  <si>
    <t>NOT REPORTED</t>
  </si>
  <si>
    <t>UNKNOWN</t>
  </si>
  <si>
    <t>Sun</t>
  </si>
  <si>
    <t>DR</t>
  </si>
  <si>
    <t>Tue</t>
  </si>
  <si>
    <t>Wed</t>
  </si>
  <si>
    <t>Thu</t>
  </si>
  <si>
    <t>Fri</t>
  </si>
  <si>
    <t>Expr1</t>
  </si>
  <si>
    <t>Expr2</t>
  </si>
  <si>
    <t>Expr3</t>
  </si>
  <si>
    <t>Expr4</t>
  </si>
  <si>
    <t>KIRBY</t>
  </si>
  <si>
    <t>KIRBY DR</t>
  </si>
  <si>
    <t>JACKSON AVE</t>
  </si>
  <si>
    <t>AIRLINE FT BEND ROAD NO 2</t>
  </si>
  <si>
    <t>1309-0412</t>
  </si>
  <si>
    <t>AIRLINE</t>
  </si>
  <si>
    <t>CR0059</t>
  </si>
  <si>
    <t>1003-1159</t>
  </si>
  <si>
    <t>DALLAS</t>
  </si>
  <si>
    <t>11-000379</t>
  </si>
  <si>
    <t>CR 59</t>
  </si>
  <si>
    <t>COUNTY ROAD 59</t>
  </si>
  <si>
    <t>11-010022</t>
  </si>
  <si>
    <t>11-009664</t>
  </si>
  <si>
    <t>11-007250</t>
  </si>
  <si>
    <t>ST</t>
  </si>
  <si>
    <t>10-05-1483</t>
  </si>
  <si>
    <t>E</t>
  </si>
  <si>
    <t>ALMEDA SCHOOL RD</t>
  </si>
  <si>
    <t>AIRLINE RD S</t>
  </si>
  <si>
    <t>W DALLAS RD</t>
  </si>
  <si>
    <t>11-10-0555</t>
  </si>
  <si>
    <t>1303-0372</t>
  </si>
  <si>
    <t>48N</t>
  </si>
  <si>
    <t>12-010781</t>
  </si>
  <si>
    <t>COUNTY ROAD 48</t>
  </si>
  <si>
    <t>13-012110</t>
  </si>
  <si>
    <t>CR 48</t>
  </si>
  <si>
    <t>10-010548</t>
  </si>
  <si>
    <t>11-008751</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</si>
</sst>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quot;#,##0_);[Red]\(&quot;$&quot;#,##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s>
  <fonts count="2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sz val="9"/>
      <color theme="1"/>
      <name val="Calibri"/>
      <family val="2"/>
      <scheme val="minor"/>
    </font>
    <font>
      <i/>
      <sz val="11"/>
      <color theme="0"/>
      <name val="Calibri"/>
      <family val="2"/>
      <scheme val="minor"/>
    </font>
    <font>
      <u/>
      <sz val="11"/>
      <color theme="10"/>
      <name val="Calibri"/>
      <family val="2"/>
    </font>
    <font>
      <u/>
      <sz val="10"/>
      <color theme="10"/>
      <name val="Calibri"/>
      <family val="2"/>
    </font>
    <font>
      <b/>
      <sz val="9"/>
      <name val="Calibri"/>
      <family val="2"/>
      <scheme val="minor"/>
    </font>
    <font>
      <sz val="9"/>
      <name val="Calibri"/>
      <family val="2"/>
      <scheme val="minor"/>
    </font>
    <font>
      <b/>
      <sz val="9"/>
      <color indexed="8"/>
      <name val="Calibri"/>
      <family val="2"/>
      <scheme val="minor"/>
    </font>
    <font>
      <u/>
      <sz val="9"/>
      <color theme="10"/>
      <name val="Calibri"/>
      <family val="2"/>
    </font>
    <font>
      <b/>
      <u/>
      <sz val="11"/>
      <color theme="0"/>
      <name val="Calibri"/>
      <family val="2"/>
      <scheme val="minor"/>
    </font>
    <font>
      <b/>
      <sz val="14"/>
      <color theme="1"/>
      <name val="Calibri"/>
      <family val="2"/>
      <scheme val="minor"/>
    </font>
    <font>
      <sz val="9"/>
      <color rgb="FF000000"/>
      <name val="Calibri"/>
      <family val="2"/>
    </font>
    <font>
      <b/>
      <sz val="9"/>
      <color rgb="FF000000"/>
      <name val="Calibri"/>
      <family val="2"/>
    </font>
    <font>
      <b/>
      <sz val="9"/>
      <color rgb="FFFF0000"/>
      <name val="Calibri"/>
      <family val="2"/>
    </font>
  </fonts>
  <fills count="19">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5" tint="0.59999389629810485"/>
        <bgColor theme="8" tint="0.79998168889431442"/>
      </patternFill>
    </fill>
    <fill>
      <patternFill patternType="solid">
        <fgColor theme="4" tint="0.39997558519241921"/>
        <bgColor indexed="64"/>
      </patternFill>
    </fill>
    <fill>
      <patternFill patternType="solid">
        <fgColor theme="7"/>
        <bgColor indexed="64"/>
      </patternFill>
    </fill>
    <fill>
      <patternFill patternType="solid">
        <fgColor theme="7" tint="0.39997558519241921"/>
        <bgColor indexed="64"/>
      </patternFill>
    </fill>
    <fill>
      <patternFill patternType="solid">
        <fgColor theme="7"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alignment vertical="top"/>
      <protection locked="0"/>
    </xf>
  </cellStyleXfs>
  <cellXfs count="124">
    <xf numFmtId="0" fontId="0" fillId="0" borderId="0" xfId="0"/>
    <xf numFmtId="164" fontId="0" fillId="0" borderId="0" xfId="1" applyNumberFormat="1" applyFont="1"/>
    <xf numFmtId="164" fontId="3" fillId="0" borderId="0" xfId="0" applyNumberFormat="1" applyFont="1"/>
    <xf numFmtId="10" fontId="0" fillId="0" borderId="0" xfId="3" applyNumberFormat="1" applyFont="1"/>
    <xf numFmtId="0" fontId="3" fillId="0" borderId="0" xfId="0" applyFont="1"/>
    <xf numFmtId="0" fontId="4" fillId="0" borderId="0" xfId="0" applyFont="1"/>
    <xf numFmtId="0" fontId="0" fillId="0" borderId="0" xfId="0" applyAlignment="1">
      <alignment horizontal="left"/>
    </xf>
    <xf numFmtId="44" fontId="0" fillId="0" borderId="0" xfId="2" applyFont="1"/>
    <xf numFmtId="0" fontId="5" fillId="0" borderId="0" xfId="0" applyFont="1" applyAlignment="1">
      <alignment horizontal="right"/>
    </xf>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9"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2" borderId="1" xfId="0" applyFill="1" applyBorder="1"/>
    <xf numFmtId="9" fontId="0" fillId="12" borderId="1" xfId="0" applyNumberFormat="1" applyFill="1" applyBorder="1"/>
    <xf numFmtId="165" fontId="0" fillId="12" borderId="1" xfId="0" applyNumberFormat="1" applyFill="1" applyBorder="1"/>
    <xf numFmtId="0" fontId="0" fillId="12" borderId="2" xfId="0" applyFill="1" applyBorder="1"/>
    <xf numFmtId="3" fontId="0" fillId="12" borderId="3" xfId="0" applyNumberFormat="1" applyFill="1" applyBorder="1"/>
    <xf numFmtId="2" fontId="0" fillId="12"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9" fillId="10" borderId="1" xfId="0" applyFont="1" applyFill="1" applyBorder="1" applyAlignment="1">
      <alignment horizontal="center"/>
    </xf>
    <xf numFmtId="0" fontId="0" fillId="0" borderId="0" xfId="0" applyAlignment="1">
      <alignment vertical="top"/>
    </xf>
    <xf numFmtId="0" fontId="0" fillId="12"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8" fillId="0" borderId="0" xfId="0" applyFont="1"/>
    <xf numFmtId="0" fontId="12" fillId="0" borderId="1" xfId="0" applyNumberFormat="1" applyFont="1" applyFill="1" applyBorder="1" applyAlignment="1" applyProtection="1">
      <alignment horizontal="center"/>
    </xf>
    <xf numFmtId="0" fontId="13" fillId="0" borderId="1" xfId="0" applyNumberFormat="1" applyFont="1" applyFill="1" applyBorder="1" applyAlignment="1" applyProtection="1"/>
    <xf numFmtId="167" fontId="13" fillId="0" borderId="1" xfId="0" applyNumberFormat="1" applyFont="1" applyFill="1" applyBorder="1" applyAlignment="1" applyProtection="1"/>
    <xf numFmtId="167" fontId="8" fillId="0" borderId="1" xfId="0" applyNumberFormat="1" applyFont="1" applyBorder="1"/>
    <xf numFmtId="0" fontId="13" fillId="0" borderId="0" xfId="0" applyNumberFormat="1" applyFont="1" applyFill="1" applyBorder="1" applyAlignment="1" applyProtection="1"/>
    <xf numFmtId="0" fontId="15" fillId="0" borderId="0" xfId="4" applyFont="1" applyAlignment="1" applyProtection="1"/>
    <xf numFmtId="0" fontId="0" fillId="0" borderId="1" xfId="0" applyFill="1" applyBorder="1" applyAlignment="1">
      <alignment vertical="top"/>
    </xf>
    <xf numFmtId="0" fontId="11" fillId="0" borderId="1" xfId="4" applyFont="1" applyBorder="1" applyAlignment="1" applyProtection="1">
      <alignment horizontal="right" vertical="top" wrapText="1"/>
    </xf>
    <xf numFmtId="0" fontId="0" fillId="0" borderId="1" xfId="0" applyBorder="1" applyAlignment="1">
      <alignment vertical="top"/>
    </xf>
    <xf numFmtId="6" fontId="0" fillId="0" borderId="1" xfId="0" applyNumberFormat="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9" fontId="7" fillId="0" borderId="1" xfId="0" applyNumberFormat="1" applyFont="1" applyFill="1" applyBorder="1" applyAlignment="1">
      <alignment horizontal="right" vertical="top"/>
    </xf>
    <xf numFmtId="44" fontId="0" fillId="0" borderId="0" xfId="0" applyNumberFormat="1"/>
    <xf numFmtId="0" fontId="3" fillId="11" borderId="1" xfId="0" applyFont="1" applyFill="1" applyBorder="1"/>
    <xf numFmtId="169" fontId="0" fillId="12" borderId="3" xfId="0" applyNumberFormat="1" applyFill="1" applyBorder="1"/>
    <xf numFmtId="165" fontId="0" fillId="7" borderId="1" xfId="2" applyNumberFormat="1" applyFont="1" applyFill="1" applyBorder="1" applyAlignment="1">
      <alignment horizontal="center"/>
    </xf>
    <xf numFmtId="166" fontId="0" fillId="12" borderId="1" xfId="0" applyNumberFormat="1" applyFill="1" applyBorder="1"/>
    <xf numFmtId="165" fontId="0" fillId="7" borderId="1" xfId="2" applyNumberFormat="1" applyFont="1" applyFill="1" applyBorder="1" applyAlignment="1" applyProtection="1">
      <alignment horizontal="center"/>
    </xf>
    <xf numFmtId="168"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2" borderId="1" xfId="3" applyNumberFormat="1" applyFont="1" applyFill="1" applyBorder="1"/>
    <xf numFmtId="166" fontId="0" fillId="5" borderId="1" xfId="0" applyNumberFormat="1" applyFill="1" applyBorder="1"/>
    <xf numFmtId="168" fontId="0" fillId="12"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6" fontId="0" fillId="0" borderId="4" xfId="0" applyNumberFormat="1" applyBorder="1" applyAlignment="1">
      <alignment vertical="top"/>
    </xf>
    <xf numFmtId="10" fontId="7" fillId="0" borderId="1" xfId="0" applyNumberFormat="1" applyFont="1" applyFill="1" applyBorder="1" applyAlignment="1">
      <alignment horizontal="right" vertical="top"/>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6" fontId="0" fillId="0" borderId="1" xfId="0" applyNumberFormat="1" applyBorder="1"/>
    <xf numFmtId="167" fontId="0" fillId="0" borderId="1" xfId="0" applyNumberFormat="1" applyBorder="1" applyAlignment="1">
      <alignment horizontal="center"/>
    </xf>
    <xf numFmtId="166" fontId="0" fillId="0" borderId="1" xfId="0" applyNumberFormat="1" applyFill="1" applyBorder="1" applyAlignment="1">
      <alignment vertical="top"/>
    </xf>
    <xf numFmtId="10" fontId="2" fillId="10" borderId="1" xfId="3" applyNumberFormat="1" applyFont="1" applyFill="1" applyBorder="1" applyAlignment="1">
      <alignment horizontal="center"/>
    </xf>
    <xf numFmtId="10" fontId="0" fillId="9"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9" borderId="1" xfId="3"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9" borderId="1" xfId="3" applyNumberFormat="1" applyFont="1" applyFill="1" applyBorder="1" applyAlignment="1">
      <alignment horizontal="center"/>
    </xf>
    <xf numFmtId="0" fontId="0" fillId="0" borderId="0" xfId="0" applyNumberFormat="1"/>
    <xf numFmtId="165" fontId="0" fillId="14" borderId="1" xfId="2" applyNumberFormat="1" applyFont="1" applyFill="1" applyBorder="1" applyAlignment="1">
      <alignment horizontal="center"/>
    </xf>
    <xf numFmtId="0" fontId="0" fillId="8" borderId="1" xfId="0" applyFont="1" applyFill="1" applyBorder="1" applyAlignment="1">
      <alignment horizontal="center"/>
    </xf>
    <xf numFmtId="10" fontId="0" fillId="8" borderId="1" xfId="3" applyNumberFormat="1" applyFont="1" applyFill="1" applyBorder="1" applyAlignment="1">
      <alignment horizontal="center"/>
    </xf>
    <xf numFmtId="2" fontId="0" fillId="8" borderId="1" xfId="0" applyNumberFormat="1" applyFont="1" applyFill="1" applyBorder="1" applyAlignment="1">
      <alignment horizontal="center"/>
    </xf>
    <xf numFmtId="0" fontId="0" fillId="8" borderId="1" xfId="0" applyNumberFormat="1" applyFont="1" applyFill="1" applyBorder="1" applyAlignment="1">
      <alignment horizontal="center"/>
    </xf>
    <xf numFmtId="0" fontId="0" fillId="0" borderId="1" xfId="0" applyFill="1" applyBorder="1"/>
    <xf numFmtId="170" fontId="0" fillId="0" borderId="1" xfId="3" applyNumberFormat="1" applyFont="1" applyFill="1" applyBorder="1"/>
    <xf numFmtId="0" fontId="17" fillId="0" borderId="5" xfId="0" applyFont="1" applyBorder="1"/>
    <xf numFmtId="0" fontId="0" fillId="0" borderId="5" xfId="0" applyBorder="1"/>
    <xf numFmtId="3" fontId="0" fillId="8" borderId="1" xfId="0" applyNumberFormat="1" applyFont="1" applyFill="1" applyBorder="1" applyAlignment="1" applyProtection="1">
      <alignment horizontal="center"/>
    </xf>
    <xf numFmtId="0" fontId="0" fillId="0" borderId="6" xfId="0" applyBorder="1"/>
    <xf numFmtId="0" fontId="7" fillId="15" borderId="1" xfId="0" applyFont="1" applyFill="1" applyBorder="1"/>
    <xf numFmtId="3" fontId="7" fillId="15" borderId="1" xfId="0" applyNumberFormat="1" applyFont="1" applyFill="1" applyBorder="1" applyProtection="1">
      <protection locked="0"/>
    </xf>
    <xf numFmtId="18" fontId="0" fillId="0" borderId="0" xfId="0" applyNumberFormat="1"/>
    <xf numFmtId="14" fontId="0" fillId="0" borderId="0" xfId="0" applyNumberFormat="1"/>
    <xf numFmtId="0" fontId="2" fillId="4" borderId="7" xfId="0" applyFont="1" applyFill="1" applyBorder="1"/>
    <xf numFmtId="0" fontId="9" fillId="4" borderId="7" xfId="0" applyFont="1" applyFill="1" applyBorder="1" applyAlignment="1">
      <alignment horizontal="center"/>
    </xf>
    <xf numFmtId="0" fontId="0" fillId="3" borderId="0" xfId="0" applyFill="1" applyBorder="1"/>
    <xf numFmtId="0" fontId="0" fillId="0" borderId="1" xfId="0" applyFont="1" applyBorder="1"/>
    <xf numFmtId="171" fontId="0" fillId="0" borderId="1" xfId="3" applyNumberFormat="1" applyFont="1" applyBorder="1"/>
    <xf numFmtId="171" fontId="4" fillId="0" borderId="1" xfId="0" applyNumberFormat="1" applyFont="1" applyBorder="1"/>
    <xf numFmtId="4" fontId="3" fillId="0" borderId="1" xfId="0" applyNumberFormat="1" applyFont="1" applyBorder="1"/>
    <xf numFmtId="172" fontId="0" fillId="0" borderId="1" xfId="0" applyNumberFormat="1" applyBorder="1"/>
    <xf numFmtId="9" fontId="0" fillId="3" borderId="1" xfId="0" applyNumberFormat="1" applyFill="1" applyBorder="1" applyProtection="1">
      <protection locked="0"/>
    </xf>
    <xf numFmtId="165" fontId="0" fillId="13" borderId="1" xfId="2" applyNumberFormat="1" applyFont="1" applyFill="1" applyBorder="1" applyAlignment="1">
      <alignment horizontal="center"/>
    </xf>
    <xf numFmtId="0" fontId="2" fillId="16" borderId="7" xfId="0" applyFont="1" applyFill="1" applyBorder="1"/>
    <xf numFmtId="0" fontId="9" fillId="16" borderId="7" xfId="0" applyFont="1" applyFill="1" applyBorder="1" applyAlignment="1">
      <alignment horizontal="center"/>
    </xf>
    <xf numFmtId="4" fontId="7" fillId="17" borderId="1" xfId="0" applyNumberFormat="1" applyFont="1" applyFill="1" applyBorder="1" applyProtection="1">
      <protection locked="0"/>
    </xf>
    <xf numFmtId="0" fontId="0" fillId="18" borderId="1" xfId="0" applyFill="1" applyBorder="1"/>
    <xf numFmtId="3" fontId="0" fillId="18" borderId="1" xfId="0" applyNumberFormat="1" applyFill="1" applyBorder="1" applyProtection="1">
      <protection locked="0"/>
    </xf>
    <xf numFmtId="0" fontId="2" fillId="16" borderId="2" xfId="0" applyFont="1" applyFill="1" applyBorder="1"/>
    <xf numFmtId="0" fontId="0" fillId="16" borderId="1" xfId="0" applyFill="1" applyBorder="1"/>
    <xf numFmtId="0" fontId="16" fillId="4" borderId="2" xfId="0" applyFont="1" applyFill="1" applyBorder="1" applyAlignment="1">
      <alignment horizontal="center"/>
    </xf>
    <xf numFmtId="0" fontId="16" fillId="4" borderId="3" xfId="0" applyFont="1" applyFill="1" applyBorder="1" applyAlignment="1">
      <alignment horizontal="center"/>
    </xf>
    <xf numFmtId="0" fontId="3" fillId="0" borderId="1" xfId="0" applyFont="1" applyBorder="1" applyAlignment="1">
      <alignment horizontal="center"/>
    </xf>
    <xf numFmtId="0" fontId="3" fillId="0" borderId="1" xfId="0" applyFont="1" applyFill="1" applyBorder="1" applyAlignment="1">
      <alignment horizontal="center"/>
    </xf>
    <xf numFmtId="0" fontId="7" fillId="0" borderId="2" xfId="0" applyFont="1" applyFill="1" applyBorder="1" applyAlignment="1">
      <alignment vertical="top"/>
    </xf>
    <xf numFmtId="0" fontId="7" fillId="0" borderId="3" xfId="0" applyFont="1" applyFill="1" applyBorder="1" applyAlignment="1">
      <alignment vertical="top"/>
    </xf>
    <xf numFmtId="0" fontId="4" fillId="0" borderId="1" xfId="0" applyFont="1" applyFill="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Drop" dropLines="2" dropStyle="combo" dx="16" fmlaLink="$B$6" fmlaRange="$A$52:$A$53" noThreeD="1" val="0"/>
</file>

<file path=xl/ctrlProps/ctrlProp2.xml><?xml version="1.0" encoding="utf-8"?>
<formControlPr xmlns="http://schemas.microsoft.com/office/spreadsheetml/2009/9/main" objectType="Drop" dropLines="2" dropStyle="combo" dx="16" fmlaLink="$B$6" fmlaRange="$A$54:$A$55" noThreeD="1" sel="2" val="0"/>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hyperlink" Target="http://ftp.dot.state.tx.us/pub/txdot-info/trf/hsipworkcodestable.pdf" TargetMode="External"/></Relationships>
</file>

<file path=xl/drawings/_rels/drawing5.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78873</xdr:colOff>
      <xdr:row>0</xdr:row>
      <xdr:rowOff>123264</xdr:rowOff>
    </xdr:from>
    <xdr:to>
      <xdr:col>4</xdr:col>
      <xdr:colOff>955367</xdr:colOff>
      <xdr:row>17</xdr:row>
      <xdr:rowOff>131885</xdr:rowOff>
    </xdr:to>
    <xdr:sp macro="" textlink="">
      <xdr:nvSpPr>
        <xdr:cNvPr id="2" name="TextBox 1">
          <a:hlinkClick xmlns:r="http://schemas.openxmlformats.org/officeDocument/2006/relationships" r:id="rId1"/>
        </xdr:cNvPr>
        <xdr:cNvSpPr txBox="1"/>
      </xdr:nvSpPr>
      <xdr:spPr>
        <a:xfrm>
          <a:off x="78873" y="123264"/>
          <a:ext cx="6650109" cy="3247121"/>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On the "Inputs</a:t>
          </a:r>
          <a:r>
            <a:rPr lang="en-US" sz="1100" b="0" baseline="0">
              <a:solidFill>
                <a:schemeClr val="bg1"/>
              </a:solidFill>
            </a:rPr>
            <a:t> &amp; Outputs" tab, f</a:t>
          </a:r>
          <a:r>
            <a:rPr lang="en-US" sz="1100" b="0">
              <a:solidFill>
                <a:schemeClr val="bg1"/>
              </a:solidFill>
            </a:rPr>
            <a:t>ill in all "blue" shaded sections ("Project Information" and "Daily Travel Demand</a:t>
          </a:r>
          <a:r>
            <a:rPr lang="en-US" sz="1100" b="0" baseline="0">
              <a:solidFill>
                <a:schemeClr val="bg1"/>
              </a:solidFill>
            </a:rPr>
            <a:t>", etc.).  While optional, please provide 2025 volume/capacity if available. </a:t>
          </a:r>
        </a:p>
        <a:p>
          <a:endParaRPr lang="en-US" sz="1100" b="0" baseline="0">
            <a:solidFill>
              <a:schemeClr val="bg1"/>
            </a:solidFill>
          </a:endParaRPr>
        </a:p>
        <a:p>
          <a:r>
            <a:rPr lang="en-US" sz="1100" b="1" i="1" baseline="0">
              <a:solidFill>
                <a:schemeClr val="bg1"/>
              </a:solidFill>
            </a:rPr>
            <a:t>Crash Reduction Factors and Service Life values should be consistent with TxDOT's current Highway Safety Improvement Program (HSIP) Work Codes Table (http://ftp.dot.state.tx.us/pub/txdot-info/trf/hsipworkcodestable.pdf)</a:t>
          </a:r>
        </a:p>
        <a:p>
          <a:endParaRPr lang="en-US" sz="1100" b="0" baseline="0">
            <a:solidFill>
              <a:schemeClr val="bg1"/>
            </a:solidFill>
          </a:endParaRPr>
        </a:p>
        <a:p>
          <a:r>
            <a:rPr lang="en-US" sz="1100" b="0" baseline="0">
              <a:solidFill>
                <a:schemeClr val="bg1"/>
              </a:solidFill>
            </a:rPr>
            <a:t>2. On the "Inputs &amp; Outputs" tab, provide three years of crash history data in the "purple" shaded section. This data can be provided in two ways: </a:t>
          </a:r>
        </a:p>
        <a:p>
          <a:r>
            <a:rPr lang="en-US" sz="1100" b="0" baseline="0">
              <a:solidFill>
                <a:schemeClr val="bg1"/>
              </a:solidFill>
            </a:rPr>
            <a:t>     (A) Copy and paste reviewed/validated CRIS database records into the "CRASH" tab, and use the "Import" 	button on the "Inputs &amp; Outputs" tab generate the summary; or</a:t>
          </a:r>
        </a:p>
        <a:p>
          <a:r>
            <a:rPr lang="en-US" sz="1100" b="0" baseline="0">
              <a:solidFill>
                <a:schemeClr val="bg1"/>
              </a:solidFill>
            </a:rPr>
            <a:t>     (B) Directly enter the summary crash data on the "Inputs &amp; Outputs" tab.</a:t>
          </a:r>
        </a:p>
        <a:p>
          <a:endParaRPr lang="en-US" sz="1100" b="0" baseline="0">
            <a:solidFill>
              <a:schemeClr val="bg1"/>
            </a:solidFill>
          </a:endParaRPr>
        </a:p>
        <a:p>
          <a:r>
            <a:rPr lang="en-US" sz="1100" b="1" i="1" baseline="0">
              <a:solidFill>
                <a:schemeClr val="bg1"/>
              </a:solidFill>
            </a:rPr>
            <a:t>In either case you must provide appropriate documentation of the crash history records and the process used to review and validate the records as appropriate for inclusion in the analysis (type/causes of crash, etc).</a:t>
          </a:r>
        </a:p>
        <a:p>
          <a:endParaRPr lang="en-US" sz="1100" b="0" baseline="0">
            <a:solidFill>
              <a:schemeClr val="bg1"/>
            </a:solidFill>
          </a:endParaRPr>
        </a:p>
        <a:p>
          <a:r>
            <a:rPr lang="en-US" sz="1100" b="0" baseline="0">
              <a:solidFill>
                <a:schemeClr val="bg1"/>
              </a:solidFill>
            </a:rPr>
            <a:t>3. Results will be populated in "red" shaded section ("Benefit Results")</a:t>
          </a:r>
        </a:p>
        <a:p>
          <a:endParaRPr lang="en-US" sz="1100" b="1" baseline="0">
            <a:solidFill>
              <a:schemeClr val="bg1"/>
            </a:solidFill>
          </a:endParaRPr>
        </a:p>
        <a:p>
          <a:endParaRPr lang="en-US" sz="1100" b="1">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5</xdr:row>
          <xdr:rowOff>28575</xdr:rowOff>
        </xdr:from>
        <xdr:to>
          <xdr:col>5</xdr:col>
          <xdr:colOff>0</xdr:colOff>
          <xdr:row>6</xdr:row>
          <xdr:rowOff>0</xdr:rowOff>
        </xdr:to>
        <xdr:sp macro="" textlink="">
          <xdr:nvSpPr>
            <xdr:cNvPr id="6145" name="Button 1" hidden="1">
              <a:extLst>
                <a:ext uri="{63B3BB69-23CF-44E3-9099-C40C66FF867C}">
                  <a14:compatExt spid="_x0000_s614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900" b="0" i="0" u="none" strike="noStrike" baseline="0">
                  <a:solidFill>
                    <a:srgbClr val="000000"/>
                  </a:solidFill>
                  <a:latin typeface="Calibri"/>
                </a:rPr>
                <a:t>Import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5</xdr:row>
          <xdr:rowOff>19050</xdr:rowOff>
        </xdr:from>
        <xdr:to>
          <xdr:col>5</xdr:col>
          <xdr:colOff>0</xdr:colOff>
          <xdr:row>5</xdr:row>
          <xdr:rowOff>180975</xdr:rowOff>
        </xdr:to>
        <xdr:sp macro="" textlink="">
          <xdr:nvSpPr>
            <xdr:cNvPr id="6146" name="Button 2" hidden="1">
              <a:extLst>
                <a:ext uri="{63B3BB69-23CF-44E3-9099-C40C66FF867C}">
                  <a14:compatExt spid="_x0000_s6146"/>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900" b="1" i="0" u="none" strike="noStrike" baseline="0">
                  <a:solidFill>
                    <a:srgbClr val="000000"/>
                  </a:solidFill>
                  <a:latin typeface="Calibri"/>
                </a:rPr>
                <a:t>Import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19050</xdr:colOff>
          <xdr:row>5</xdr:row>
          <xdr:rowOff>19050</xdr:rowOff>
        </xdr:from>
        <xdr:to>
          <xdr:col>5</xdr:col>
          <xdr:colOff>600075</xdr:colOff>
          <xdr:row>5</xdr:row>
          <xdr:rowOff>180975</xdr:rowOff>
        </xdr:to>
        <xdr:sp macro="" textlink="">
          <xdr:nvSpPr>
            <xdr:cNvPr id="6149" name="Button 5" hidden="1">
              <a:extLst>
                <a:ext uri="{63B3BB69-23CF-44E3-9099-C40C66FF867C}">
                  <a14:compatExt spid="_x0000_s614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900" b="1" i="0" u="none" strike="noStrike" baseline="0">
                  <a:solidFill>
                    <a:srgbClr val="FF0000"/>
                  </a:solidFill>
                  <a:latin typeface="Calibri"/>
                </a:rPr>
                <a:t>Reset</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http://www.dot.gov/sites/dot.gov/files/docs/TIGER%20BCA%20Resource%20Guide%202014.pdf</a:t>
          </a:r>
          <a:r>
            <a:rPr lang="en-US" sz="1050"/>
            <a: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hyperlink" Target="http://www.bea.gov/iTable/iTable.cfm?ReqID=9&amp;step=1"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pageSetUpPr fitToPage="1"/>
  </sheetPr>
  <dimension ref="A7"/>
  <sheetViews>
    <sheetView zoomScale="130" zoomScaleNormal="130" workbookViewId="0">
      <selection activeCell="A25" sqref="A2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33"/>
    </row>
  </sheetData>
  <pageMargins left="0.25" right="0.25" top="0.75" bottom="0.75" header="0.3" footer="0.3"/>
  <pageSetup paperSize="1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1"/>
  </sheetPr>
  <dimension ref="B1:D5"/>
  <sheetViews>
    <sheetView workbookViewId="0">
      <selection activeCell="D4" sqref="D4"/>
    </sheetView>
  </sheetViews>
  <sheetFormatPr defaultRowHeight="15" x14ac:dyDescent="0.25"/>
  <cols>
    <col min="1" max="1" width="2.85546875" customWidth="1"/>
    <col min="2" max="2" width="33.7109375" customWidth="1"/>
    <col min="3" max="4" width="20" bestFit="1" customWidth="1"/>
  </cols>
  <sheetData>
    <row r="1" spans="2:4" x14ac:dyDescent="0.25">
      <c r="B1" s="5" t="s">
        <v>48</v>
      </c>
    </row>
    <row r="2" spans="2:4" x14ac:dyDescent="0.25">
      <c r="B2" s="5"/>
    </row>
    <row r="3" spans="2:4" x14ac:dyDescent="0.25">
      <c r="B3" s="54" t="s">
        <v>10</v>
      </c>
      <c r="C3" s="54" t="s">
        <v>77</v>
      </c>
      <c r="D3" s="54" t="s">
        <v>85</v>
      </c>
    </row>
    <row r="4" spans="2:4" x14ac:dyDescent="0.25">
      <c r="B4" s="47" t="s">
        <v>11</v>
      </c>
      <c r="C4" s="69">
        <v>1999</v>
      </c>
      <c r="D4" s="69">
        <f>C4*(1+'Assumed Values'!$C$8)^(2015-2013)</f>
        <v>2083.1541467275511</v>
      </c>
    </row>
    <row r="5" spans="2:4" x14ac:dyDescent="0.25">
      <c r="B5" s="47" t="s">
        <v>12</v>
      </c>
      <c r="C5" s="48">
        <v>7877</v>
      </c>
      <c r="D5" s="69">
        <f>C5*(1+'Assumed Values'!$C$8)^(2015-2013)</f>
        <v>8208.6069103416321</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1"/>
  </sheetPr>
  <dimension ref="A2:P9"/>
  <sheetViews>
    <sheetView workbookViewId="0">
      <selection activeCell="P5" sqref="P5"/>
    </sheetView>
  </sheetViews>
  <sheetFormatPr defaultRowHeight="15" x14ac:dyDescent="0.25"/>
  <cols>
    <col min="1" max="1" width="19.5703125" customWidth="1"/>
    <col min="2" max="6" width="7.5703125" bestFit="1" customWidth="1"/>
    <col min="7" max="13" width="8.5703125" bestFit="1" customWidth="1"/>
    <col min="14" max="14" width="10.140625" bestFit="1" customWidth="1"/>
  </cols>
  <sheetData>
    <row r="2" spans="1:16" x14ac:dyDescent="0.25">
      <c r="A2" s="4" t="s">
        <v>39</v>
      </c>
      <c r="B2" s="38"/>
      <c r="C2" s="38"/>
      <c r="D2" s="38"/>
      <c r="E2" s="38"/>
      <c r="F2" s="38"/>
      <c r="G2" s="38"/>
      <c r="H2" s="38"/>
      <c r="I2" s="38"/>
      <c r="J2" s="38"/>
      <c r="K2" s="38"/>
      <c r="L2" s="38"/>
      <c r="M2" s="38"/>
      <c r="N2" s="38"/>
    </row>
    <row r="3" spans="1:16" x14ac:dyDescent="0.25">
      <c r="A3" s="38"/>
      <c r="B3" s="39">
        <v>2000</v>
      </c>
      <c r="C3" s="39">
        <v>2001</v>
      </c>
      <c r="D3" s="39">
        <v>2002</v>
      </c>
      <c r="E3" s="39">
        <v>2003</v>
      </c>
      <c r="F3" s="39">
        <v>2004</v>
      </c>
      <c r="G3" s="39">
        <v>2005</v>
      </c>
      <c r="H3" s="39">
        <v>2006</v>
      </c>
      <c r="I3" s="39">
        <v>2007</v>
      </c>
      <c r="J3" s="39">
        <v>2008</v>
      </c>
      <c r="K3" s="39">
        <v>2009</v>
      </c>
      <c r="L3" s="39">
        <v>2010</v>
      </c>
      <c r="M3" s="39">
        <v>2011</v>
      </c>
      <c r="N3" s="39">
        <v>2012</v>
      </c>
      <c r="O3" s="39">
        <v>2013</v>
      </c>
      <c r="P3" s="39" t="s">
        <v>82</v>
      </c>
    </row>
    <row r="4" spans="1:16" x14ac:dyDescent="0.25">
      <c r="A4" s="40" t="s">
        <v>42</v>
      </c>
      <c r="B4" s="41">
        <v>81.891000000000005</v>
      </c>
      <c r="C4" s="41">
        <v>83.766000000000005</v>
      </c>
      <c r="D4" s="41">
        <v>85.054000000000002</v>
      </c>
      <c r="E4" s="41">
        <v>86.754000000000005</v>
      </c>
      <c r="F4" s="41">
        <v>89.132000000000005</v>
      </c>
      <c r="G4" s="41">
        <v>91.991</v>
      </c>
      <c r="H4" s="41">
        <v>94.817999999999998</v>
      </c>
      <c r="I4" s="41">
        <v>97.334999999999994</v>
      </c>
      <c r="J4" s="41">
        <v>99.236000000000004</v>
      </c>
      <c r="K4" s="41">
        <v>100</v>
      </c>
      <c r="L4" s="41">
        <v>101.211</v>
      </c>
      <c r="M4" s="42">
        <v>103.199</v>
      </c>
      <c r="N4" s="42">
        <v>105.002</v>
      </c>
      <c r="O4" s="42">
        <v>106.58799999999999</v>
      </c>
      <c r="P4" s="42"/>
    </row>
    <row r="5" spans="1:16" x14ac:dyDescent="0.25">
      <c r="A5" s="40" t="s">
        <v>43</v>
      </c>
      <c r="B5" s="41">
        <f t="shared" ref="B5:H5" si="0">C4/B4</f>
        <v>1.0228962889694839</v>
      </c>
      <c r="C5" s="41">
        <f t="shared" si="0"/>
        <v>1.0153761669412411</v>
      </c>
      <c r="D5" s="41">
        <f t="shared" si="0"/>
        <v>1.0199873021844945</v>
      </c>
      <c r="E5" s="41">
        <f t="shared" si="0"/>
        <v>1.0274108398460013</v>
      </c>
      <c r="F5" s="41">
        <f t="shared" si="0"/>
        <v>1.0320760220796121</v>
      </c>
      <c r="G5" s="41">
        <f t="shared" si="0"/>
        <v>1.0307312671891815</v>
      </c>
      <c r="H5" s="41">
        <f t="shared" si="0"/>
        <v>1.0265455926089984</v>
      </c>
      <c r="I5" s="41">
        <f>J4/I4</f>
        <v>1.0195304874916526</v>
      </c>
      <c r="J5" s="41">
        <f t="shared" ref="J5:N5" si="1">K4/J4</f>
        <v>1.0076988189769842</v>
      </c>
      <c r="K5" s="41">
        <f t="shared" si="1"/>
        <v>1.0121100000000001</v>
      </c>
      <c r="L5" s="41">
        <f t="shared" si="1"/>
        <v>1.0196421337601644</v>
      </c>
      <c r="M5" s="41">
        <f t="shared" si="1"/>
        <v>1.0174710995261582</v>
      </c>
      <c r="N5" s="41">
        <f t="shared" si="1"/>
        <v>1.0151044742004913</v>
      </c>
      <c r="O5" s="41"/>
      <c r="P5" s="41">
        <f>AVERAGE(E5:N5)</f>
        <v>1.0208320735679244</v>
      </c>
    </row>
    <row r="6" spans="1:16" x14ac:dyDescent="0.25">
      <c r="A6" s="40" t="s">
        <v>44</v>
      </c>
      <c r="B6" s="41">
        <f t="shared" ref="B6:H6" si="2">$N4/B4</f>
        <v>1.2822166049993282</v>
      </c>
      <c r="C6" s="41">
        <f t="shared" si="2"/>
        <v>1.2535157462454933</v>
      </c>
      <c r="D6" s="41">
        <f t="shared" si="2"/>
        <v>1.2345333552801749</v>
      </c>
      <c r="E6" s="41">
        <f t="shared" si="2"/>
        <v>1.2103418862530833</v>
      </c>
      <c r="F6" s="41">
        <f t="shared" si="2"/>
        <v>1.178050531795539</v>
      </c>
      <c r="G6" s="41">
        <f t="shared" si="2"/>
        <v>1.1414377493450445</v>
      </c>
      <c r="H6" s="41">
        <f t="shared" si="2"/>
        <v>1.1074057668375203</v>
      </c>
      <c r="I6" s="41">
        <f>$N4/I4</f>
        <v>1.0787691991575488</v>
      </c>
      <c r="J6" s="41">
        <f t="shared" ref="J6:N6" si="3">$N4/J4</f>
        <v>1.0581039139022128</v>
      </c>
      <c r="K6" s="41">
        <f t="shared" si="3"/>
        <v>1.05002</v>
      </c>
      <c r="L6" s="41">
        <f t="shared" si="3"/>
        <v>1.0374564029601525</v>
      </c>
      <c r="M6" s="41">
        <f t="shared" si="3"/>
        <v>1.0174710995261582</v>
      </c>
      <c r="N6" s="41">
        <f t="shared" si="3"/>
        <v>1</v>
      </c>
      <c r="O6" s="41">
        <f t="shared" ref="O6" si="4">$N4/O4</f>
        <v>0.98512027620370024</v>
      </c>
      <c r="P6" s="41"/>
    </row>
    <row r="8" spans="1:16" x14ac:dyDescent="0.25">
      <c r="A8" s="43" t="s">
        <v>40</v>
      </c>
    </row>
    <row r="9" spans="1:16" x14ac:dyDescent="0.25">
      <c r="A9" s="44" t="s">
        <v>41</v>
      </c>
    </row>
  </sheetData>
  <hyperlinks>
    <hyperlink ref="A9"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E16"/>
  <sheetViews>
    <sheetView workbookViewId="0">
      <selection activeCell="C2" sqref="C2:E8"/>
    </sheetView>
  </sheetViews>
  <sheetFormatPr defaultRowHeight="15" x14ac:dyDescent="0.25"/>
  <cols>
    <col min="2" max="2" width="24.28515625" bestFit="1" customWidth="1"/>
    <col min="3" max="3" width="7.5703125" bestFit="1" customWidth="1"/>
    <col min="4" max="5" width="6.85546875" bestFit="1" customWidth="1"/>
  </cols>
  <sheetData>
    <row r="2" spans="2:5" x14ac:dyDescent="0.25">
      <c r="B2" s="100" t="s">
        <v>300</v>
      </c>
      <c r="C2" s="101">
        <f>D2-1</f>
        <v>2011</v>
      </c>
      <c r="D2" s="101">
        <f>E2-1</f>
        <v>2012</v>
      </c>
      <c r="E2" s="101">
        <f>MAX(INDEX(CRASH!1:1048576,,MATCH("Year",CRASH!1:1,0)))</f>
        <v>2013</v>
      </c>
    </row>
    <row r="3" spans="2:5" x14ac:dyDescent="0.25">
      <c r="B3" s="12" t="s">
        <v>145</v>
      </c>
      <c r="C3" s="16">
        <f>SUMIFS(INDEX(CRASH!$1:$1048576,,MATCH($B3,CRASH!$1:$1,0)),INDEX(CRASH!$1:$1048576,,MATCH("Year",CRASH!$1:$1,0)),C$2)</f>
        <v>0</v>
      </c>
      <c r="D3" s="16">
        <f>SUMIFS(INDEX(CRASH!$1:$1048576,,MATCH($B3,CRASH!$1:$1,0)),INDEX(CRASH!$1:$1048576,,MATCH("Year",CRASH!$1:$1,0)),D$2)</f>
        <v>0</v>
      </c>
      <c r="E3" s="16">
        <f>SUMIFS(INDEX(CRASH!$1:$1048576,,MATCH($B3,CRASH!$1:$1,0)),INDEX(CRASH!$1:$1048576,,MATCH("Year",CRASH!$1:$1,0)),E$2)</f>
        <v>0</v>
      </c>
    </row>
    <row r="4" spans="2:5" x14ac:dyDescent="0.25">
      <c r="B4" s="12" t="s">
        <v>151</v>
      </c>
      <c r="C4" s="16">
        <f>SUMIFS(INDEX(CRASH!$1:$1048576,,MATCH($B4,CRASH!$1:$1,0)),INDEX(CRASH!$1:$1048576,,MATCH("Year",CRASH!$1:$1,0)),C$2)</f>
        <v>1</v>
      </c>
      <c r="D4" s="16">
        <f>SUMIFS(INDEX(CRASH!$1:$1048576,,MATCH($B4,CRASH!$1:$1,0)),INDEX(CRASH!$1:$1048576,,MATCH("Year",CRASH!$1:$1,0)),D$2)</f>
        <v>0</v>
      </c>
      <c r="E4" s="16">
        <f>SUMIFS(INDEX(CRASH!$1:$1048576,,MATCH($B4,CRASH!$1:$1,0)),INDEX(CRASH!$1:$1048576,,MATCH("Year",CRASH!$1:$1,0)),E$2)</f>
        <v>0</v>
      </c>
    </row>
    <row r="5" spans="2:5" x14ac:dyDescent="0.25">
      <c r="B5" s="12" t="s">
        <v>150</v>
      </c>
      <c r="C5" s="16">
        <f>SUMIFS(INDEX(CRASH!$1:$1048576,,MATCH($B5,CRASH!$1:$1,0)),INDEX(CRASH!$1:$1048576,,MATCH("Year",CRASH!$1:$1,0)),C$2)</f>
        <v>7</v>
      </c>
      <c r="D5" s="16">
        <f>SUMIFS(INDEX(CRASH!$1:$1048576,,MATCH($B5,CRASH!$1:$1,0)),INDEX(CRASH!$1:$1048576,,MATCH("Year",CRASH!$1:$1,0)),D$2)</f>
        <v>0</v>
      </c>
      <c r="E5" s="16">
        <f>SUMIFS(INDEX(CRASH!$1:$1048576,,MATCH($B5,CRASH!$1:$1,0)),INDEX(CRASH!$1:$1048576,,MATCH("Year",CRASH!$1:$1,0)),E$2)</f>
        <v>1</v>
      </c>
    </row>
    <row r="6" spans="2:5" x14ac:dyDescent="0.25">
      <c r="B6" s="12" t="s">
        <v>149</v>
      </c>
      <c r="C6" s="16">
        <f>SUMIFS(INDEX(CRASH!$1:$1048576,,MATCH($B6,CRASH!$1:$1,0)),INDEX(CRASH!$1:$1048576,,MATCH("Year",CRASH!$1:$1,0)),C$2)</f>
        <v>7</v>
      </c>
      <c r="D6" s="16">
        <f>SUMIFS(INDEX(CRASH!$1:$1048576,,MATCH($B6,CRASH!$1:$1,0)),INDEX(CRASH!$1:$1048576,,MATCH("Year",CRASH!$1:$1,0)),D$2)</f>
        <v>2</v>
      </c>
      <c r="E6" s="16">
        <f>SUMIFS(INDEX(CRASH!$1:$1048576,,MATCH($B6,CRASH!$1:$1,0)),INDEX(CRASH!$1:$1048576,,MATCH("Year",CRASH!$1:$1,0)),E$2)</f>
        <v>3</v>
      </c>
    </row>
    <row r="7" spans="2:5" x14ac:dyDescent="0.25">
      <c r="B7" s="12" t="s">
        <v>148</v>
      </c>
      <c r="C7" s="16">
        <f>SUMIFS(INDEX(CRASH!$1:$1048576,,MATCH($B7,CRASH!$1:$1,0)),INDEX(CRASH!$1:$1048576,,MATCH("Year",CRASH!$1:$1,0)),C$2)</f>
        <v>45</v>
      </c>
      <c r="D7" s="16">
        <f>SUMIFS(INDEX(CRASH!$1:$1048576,,MATCH($B7,CRASH!$1:$1,0)),INDEX(CRASH!$1:$1048576,,MATCH("Year",CRASH!$1:$1,0)),D$2)</f>
        <v>22</v>
      </c>
      <c r="E7" s="16">
        <f>SUMIFS(INDEX(CRASH!$1:$1048576,,MATCH($B7,CRASH!$1:$1,0)),INDEX(CRASH!$1:$1048576,,MATCH("Year",CRASH!$1:$1,0)),E$2)</f>
        <v>24</v>
      </c>
    </row>
    <row r="8" spans="2:5" x14ac:dyDescent="0.25">
      <c r="B8" s="12" t="s">
        <v>147</v>
      </c>
      <c r="C8" s="16">
        <f>SUMIFS(INDEX(CRASH!$1:$1048576,,MATCH($B8,CRASH!$1:$1,0)),INDEX(CRASH!$1:$1048576,,MATCH("Year",CRASH!$1:$1,0)),C$2)</f>
        <v>1</v>
      </c>
      <c r="D8" s="16">
        <f>SUMIFS(INDEX(CRASH!$1:$1048576,,MATCH($B8,CRASH!$1:$1,0)),INDEX(CRASH!$1:$1048576,,MATCH("Year",CRASH!$1:$1,0)),D$2)</f>
        <v>0</v>
      </c>
      <c r="E8" s="16">
        <f>SUMIFS(INDEX(CRASH!$1:$1048576,,MATCH($B8,CRASH!$1:$1,0)),INDEX(CRASH!$1:$1048576,,MATCH("Year",CRASH!$1:$1,0)),E$2)</f>
        <v>0</v>
      </c>
    </row>
    <row r="10" spans="2:5" x14ac:dyDescent="0.25">
      <c r="B10" s="102" t="s">
        <v>310</v>
      </c>
      <c r="C10" s="73" t="s">
        <v>301</v>
      </c>
      <c r="D10" s="73" t="s">
        <v>303</v>
      </c>
      <c r="E10" s="73" t="s">
        <v>302</v>
      </c>
    </row>
    <row r="11" spans="2:5" x14ac:dyDescent="0.25">
      <c r="C11" s="73">
        <v>0</v>
      </c>
      <c r="D11" s="73">
        <v>0</v>
      </c>
      <c r="E11" s="73">
        <v>0</v>
      </c>
    </row>
    <row r="12" spans="2:5" x14ac:dyDescent="0.25">
      <c r="C12" s="73">
        <v>0</v>
      </c>
      <c r="D12" s="73">
        <v>0</v>
      </c>
      <c r="E12" s="73">
        <v>0</v>
      </c>
    </row>
    <row r="13" spans="2:5" x14ac:dyDescent="0.25">
      <c r="C13" s="73">
        <v>0</v>
      </c>
      <c r="D13" s="73">
        <v>0</v>
      </c>
      <c r="E13" s="73">
        <v>0</v>
      </c>
    </row>
    <row r="14" spans="2:5" x14ac:dyDescent="0.25">
      <c r="C14" s="73">
        <v>0</v>
      </c>
      <c r="D14" s="73">
        <v>0</v>
      </c>
      <c r="E14" s="73">
        <v>0</v>
      </c>
    </row>
    <row r="15" spans="2:5" x14ac:dyDescent="0.25">
      <c r="C15" s="73">
        <v>0</v>
      </c>
      <c r="D15" s="73">
        <v>0</v>
      </c>
      <c r="E15" s="73">
        <v>0</v>
      </c>
    </row>
    <row r="16" spans="2:5" x14ac:dyDescent="0.25">
      <c r="C16" s="73">
        <v>0</v>
      </c>
      <c r="D16" s="73">
        <v>0</v>
      </c>
      <c r="E16" s="73">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14" t="s">
        <v>13</v>
      </c>
      <c r="D3" s="14" t="s">
        <v>32</v>
      </c>
      <c r="E3" s="15" t="s">
        <v>22</v>
      </c>
      <c r="G3" s="21" t="s">
        <v>26</v>
      </c>
      <c r="H3" s="21"/>
      <c r="I3" s="21" t="s">
        <v>33</v>
      </c>
      <c r="J3" s="21" t="s">
        <v>73</v>
      </c>
    </row>
    <row r="4" spans="1:10" x14ac:dyDescent="0.25">
      <c r="A4" s="12" t="s">
        <v>18</v>
      </c>
      <c r="B4" s="13"/>
      <c r="D4" s="12" t="s">
        <v>68</v>
      </c>
      <c r="E4" s="68">
        <v>2015</v>
      </c>
      <c r="G4" s="19">
        <f>E4</f>
        <v>2015</v>
      </c>
      <c r="H4" s="19">
        <f>IF(G4&lt;2041,1,0)</f>
        <v>1</v>
      </c>
      <c r="I4" s="29">
        <f>IF($G4&lt;($G$4+$E$5),$E$17,0)*H4</f>
        <v>0</v>
      </c>
      <c r="J4" s="56">
        <f>I4*$B$18*$B$19/10^3</f>
        <v>0</v>
      </c>
    </row>
    <row r="5" spans="1:10" x14ac:dyDescent="0.25">
      <c r="A5" s="12" t="s">
        <v>19</v>
      </c>
      <c r="B5" s="13"/>
      <c r="D5" s="12" t="s">
        <v>57</v>
      </c>
      <c r="E5" s="16">
        <v>10</v>
      </c>
      <c r="G5" s="20">
        <f t="shared" ref="G5:G29" si="0">G4+1</f>
        <v>2016</v>
      </c>
      <c r="H5" s="20">
        <f t="shared" ref="H5:H29" si="1">IF(G5&lt;2041,1,0)</f>
        <v>1</v>
      </c>
      <c r="I5" s="29">
        <f t="shared" ref="I5:I29" si="2">IF($G5&lt;($G$4+$E$5),$E$17,0)*H5</f>
        <v>0</v>
      </c>
      <c r="J5" s="63">
        <f t="shared" ref="J5:J24" si="3">I5*$B$18*$B$19/10^3</f>
        <v>0</v>
      </c>
    </row>
    <row r="6" spans="1:10" x14ac:dyDescent="0.25">
      <c r="A6" s="12" t="s">
        <v>20</v>
      </c>
      <c r="B6" s="13">
        <v>1</v>
      </c>
      <c r="D6" s="117" t="s">
        <v>55</v>
      </c>
      <c r="E6" s="118"/>
      <c r="G6" s="19">
        <f t="shared" si="0"/>
        <v>2017</v>
      </c>
      <c r="H6" s="19">
        <f t="shared" si="1"/>
        <v>1</v>
      </c>
      <c r="I6" s="29">
        <f t="shared" si="2"/>
        <v>0</v>
      </c>
      <c r="J6" s="56">
        <f t="shared" si="3"/>
        <v>0</v>
      </c>
    </row>
    <row r="7" spans="1:10" x14ac:dyDescent="0.25">
      <c r="A7" s="12" t="s">
        <v>71</v>
      </c>
      <c r="B7" s="31"/>
      <c r="D7" s="12" t="s">
        <v>65</v>
      </c>
      <c r="E7" s="16"/>
      <c r="G7" s="20">
        <f t="shared" si="0"/>
        <v>2018</v>
      </c>
      <c r="H7" s="20">
        <f t="shared" si="1"/>
        <v>1</v>
      </c>
      <c r="I7" s="29">
        <f t="shared" si="2"/>
        <v>0</v>
      </c>
      <c r="J7" s="63">
        <f t="shared" si="3"/>
        <v>0</v>
      </c>
    </row>
    <row r="8" spans="1:10" x14ac:dyDescent="0.25">
      <c r="A8" s="30" t="s">
        <v>72</v>
      </c>
      <c r="B8" s="31"/>
      <c r="D8" s="12" t="s">
        <v>63</v>
      </c>
      <c r="E8" s="67">
        <v>1.1499999999999999</v>
      </c>
      <c r="G8" s="19">
        <f t="shared" si="0"/>
        <v>2019</v>
      </c>
      <c r="H8" s="19">
        <f t="shared" si="1"/>
        <v>1</v>
      </c>
      <c r="I8" s="29">
        <f t="shared" si="2"/>
        <v>0</v>
      </c>
      <c r="J8" s="56">
        <f t="shared" si="3"/>
        <v>0</v>
      </c>
    </row>
    <row r="9" spans="1:10" x14ac:dyDescent="0.25">
      <c r="G9" s="20">
        <f t="shared" si="0"/>
        <v>2020</v>
      </c>
      <c r="H9" s="20">
        <f t="shared" si="1"/>
        <v>1</v>
      </c>
      <c r="I9" s="29">
        <f t="shared" si="2"/>
        <v>0</v>
      </c>
      <c r="J9" s="63">
        <f t="shared" si="3"/>
        <v>0</v>
      </c>
    </row>
    <row r="10" spans="1:10" x14ac:dyDescent="0.25">
      <c r="A10" s="18" t="s">
        <v>31</v>
      </c>
      <c r="G10" s="19">
        <f t="shared" si="0"/>
        <v>2021</v>
      </c>
      <c r="H10" s="19">
        <f t="shared" si="1"/>
        <v>1</v>
      </c>
      <c r="I10" s="29">
        <f t="shared" si="2"/>
        <v>0</v>
      </c>
      <c r="J10" s="56">
        <f t="shared" si="3"/>
        <v>0</v>
      </c>
    </row>
    <row r="11" spans="1:10" x14ac:dyDescent="0.25">
      <c r="A11" s="17" t="s">
        <v>67</v>
      </c>
      <c r="B11" s="65" t="e">
        <f>NPV($B$17,J4:J29)/(1+$B$17)^(E4-B16+1)</f>
        <v>#VALUE!</v>
      </c>
      <c r="G11" s="20">
        <f t="shared" si="0"/>
        <v>2022</v>
      </c>
      <c r="H11" s="20">
        <f t="shared" si="1"/>
        <v>1</v>
      </c>
      <c r="I11" s="29">
        <f t="shared" si="2"/>
        <v>0</v>
      </c>
      <c r="J11" s="63">
        <f t="shared" si="3"/>
        <v>0</v>
      </c>
    </row>
    <row r="12" spans="1:10" x14ac:dyDescent="0.25">
      <c r="A12" s="17" t="s">
        <v>30</v>
      </c>
      <c r="B12" s="62" t="e">
        <f>B11/B7</f>
        <v>#VALUE!</v>
      </c>
      <c r="G12" s="19">
        <f t="shared" si="0"/>
        <v>2023</v>
      </c>
      <c r="H12" s="19">
        <f t="shared" si="1"/>
        <v>1</v>
      </c>
      <c r="I12" s="29">
        <f t="shared" si="2"/>
        <v>0</v>
      </c>
      <c r="J12" s="56">
        <f t="shared" si="3"/>
        <v>0</v>
      </c>
    </row>
    <row r="13" spans="1:10" x14ac:dyDescent="0.25">
      <c r="G13" s="20">
        <f t="shared" si="0"/>
        <v>2024</v>
      </c>
      <c r="H13" s="20">
        <f t="shared" si="1"/>
        <v>1</v>
      </c>
      <c r="I13" s="29">
        <f t="shared" si="2"/>
        <v>0</v>
      </c>
      <c r="J13" s="63">
        <f t="shared" si="3"/>
        <v>0</v>
      </c>
    </row>
    <row r="14" spans="1:10" x14ac:dyDescent="0.25">
      <c r="G14" s="19">
        <f>G13+1</f>
        <v>2025</v>
      </c>
      <c r="H14" s="19">
        <f t="shared" si="1"/>
        <v>1</v>
      </c>
      <c r="I14" s="29">
        <f t="shared" si="2"/>
        <v>0</v>
      </c>
      <c r="J14" s="56">
        <f t="shared" si="3"/>
        <v>0</v>
      </c>
    </row>
    <row r="15" spans="1:10" x14ac:dyDescent="0.25">
      <c r="A15" s="22" t="s">
        <v>14</v>
      </c>
      <c r="G15" s="20">
        <f t="shared" si="0"/>
        <v>2026</v>
      </c>
      <c r="H15" s="20">
        <f t="shared" si="1"/>
        <v>1</v>
      </c>
      <c r="I15" s="29">
        <f t="shared" si="2"/>
        <v>0</v>
      </c>
      <c r="J15" s="63">
        <f t="shared" si="3"/>
        <v>0</v>
      </c>
    </row>
    <row r="16" spans="1:10" x14ac:dyDescent="0.25">
      <c r="A16" s="23" t="s">
        <v>15</v>
      </c>
      <c r="B16" s="34">
        <f>'Assumed Values'!C5</f>
        <v>2015</v>
      </c>
      <c r="D16" s="22" t="s">
        <v>28</v>
      </c>
      <c r="E16" s="32" t="s">
        <v>22</v>
      </c>
      <c r="G16" s="19">
        <f t="shared" si="0"/>
        <v>2027</v>
      </c>
      <c r="H16" s="19">
        <f t="shared" si="1"/>
        <v>1</v>
      </c>
      <c r="I16" s="29">
        <f t="shared" si="2"/>
        <v>0</v>
      </c>
      <c r="J16" s="56">
        <f t="shared" si="3"/>
        <v>0</v>
      </c>
    </row>
    <row r="17" spans="1:10" x14ac:dyDescent="0.25">
      <c r="A17" s="23" t="s">
        <v>16</v>
      </c>
      <c r="B17" s="24" t="str">
        <f>'Assumed Values'!C6</f>
        <v>3% and 7%</v>
      </c>
      <c r="D17" s="26" t="s">
        <v>64</v>
      </c>
      <c r="E17" s="27">
        <f>E7/E8</f>
        <v>0</v>
      </c>
      <c r="G17" s="20">
        <f t="shared" si="0"/>
        <v>2028</v>
      </c>
      <c r="H17" s="20">
        <f t="shared" si="1"/>
        <v>1</v>
      </c>
      <c r="I17" s="29">
        <f t="shared" si="2"/>
        <v>0</v>
      </c>
      <c r="J17" s="63">
        <f t="shared" si="3"/>
        <v>0</v>
      </c>
    </row>
    <row r="18" spans="1:10" x14ac:dyDescent="0.25">
      <c r="A18" s="23" t="s">
        <v>17</v>
      </c>
      <c r="B18" s="23">
        <f>IF(B6=2,2.1, 1.1)</f>
        <v>1.1000000000000001</v>
      </c>
      <c r="G18" s="19">
        <f t="shared" si="0"/>
        <v>2029</v>
      </c>
      <c r="H18" s="19">
        <f t="shared" si="1"/>
        <v>1</v>
      </c>
      <c r="I18" s="29">
        <f t="shared" si="2"/>
        <v>0</v>
      </c>
      <c r="J18" s="56">
        <f t="shared" si="3"/>
        <v>0</v>
      </c>
    </row>
    <row r="19" spans="1:10" x14ac:dyDescent="0.25">
      <c r="A19" s="23" t="s">
        <v>21</v>
      </c>
      <c r="B19" s="25">
        <f>'Assumed Values'!C15</f>
        <v>16.100000000000001</v>
      </c>
      <c r="G19" s="20">
        <f t="shared" si="0"/>
        <v>2030</v>
      </c>
      <c r="H19" s="20">
        <f t="shared" si="1"/>
        <v>1</v>
      </c>
      <c r="I19" s="29">
        <f t="shared" si="2"/>
        <v>0</v>
      </c>
      <c r="J19" s="63">
        <f t="shared" si="3"/>
        <v>0</v>
      </c>
    </row>
    <row r="20" spans="1:10" x14ac:dyDescent="0.25">
      <c r="A20" s="23" t="s">
        <v>29</v>
      </c>
      <c r="B20" s="23">
        <v>260</v>
      </c>
      <c r="G20" s="19">
        <f t="shared" si="0"/>
        <v>2031</v>
      </c>
      <c r="H20" s="19">
        <f t="shared" si="1"/>
        <v>1</v>
      </c>
      <c r="I20" s="29">
        <f t="shared" si="2"/>
        <v>0</v>
      </c>
      <c r="J20" s="56">
        <f t="shared" si="3"/>
        <v>0</v>
      </c>
    </row>
    <row r="21" spans="1:10" x14ac:dyDescent="0.25">
      <c r="G21" s="20">
        <f t="shared" si="0"/>
        <v>2032</v>
      </c>
      <c r="H21" s="20">
        <f t="shared" si="1"/>
        <v>1</v>
      </c>
      <c r="I21" s="29">
        <f t="shared" si="2"/>
        <v>0</v>
      </c>
      <c r="J21" s="63">
        <f t="shared" si="3"/>
        <v>0</v>
      </c>
    </row>
    <row r="22" spans="1:10" x14ac:dyDescent="0.25">
      <c r="G22" s="19">
        <f t="shared" si="0"/>
        <v>2033</v>
      </c>
      <c r="H22" s="19">
        <f t="shared" si="1"/>
        <v>1</v>
      </c>
      <c r="I22" s="29">
        <f t="shared" si="2"/>
        <v>0</v>
      </c>
      <c r="J22" s="56">
        <f t="shared" si="3"/>
        <v>0</v>
      </c>
    </row>
    <row r="23" spans="1:10" x14ac:dyDescent="0.25">
      <c r="G23" s="20">
        <f t="shared" si="0"/>
        <v>2034</v>
      </c>
      <c r="H23" s="20">
        <f t="shared" si="1"/>
        <v>1</v>
      </c>
      <c r="I23" s="29">
        <f t="shared" si="2"/>
        <v>0</v>
      </c>
      <c r="J23" s="63">
        <f t="shared" si="3"/>
        <v>0</v>
      </c>
    </row>
    <row r="24" spans="1:10" x14ac:dyDescent="0.25">
      <c r="G24" s="19">
        <f t="shared" si="0"/>
        <v>2035</v>
      </c>
      <c r="H24" s="19">
        <f t="shared" si="1"/>
        <v>1</v>
      </c>
      <c r="I24" s="29">
        <f t="shared" si="2"/>
        <v>0</v>
      </c>
      <c r="J24" s="56">
        <f t="shared" si="3"/>
        <v>0</v>
      </c>
    </row>
    <row r="25" spans="1:10" x14ac:dyDescent="0.25">
      <c r="G25" s="20">
        <f t="shared" si="0"/>
        <v>2036</v>
      </c>
      <c r="H25" s="20">
        <f t="shared" si="1"/>
        <v>1</v>
      </c>
      <c r="I25" s="29">
        <f t="shared" si="2"/>
        <v>0</v>
      </c>
      <c r="J25" s="63">
        <f t="shared" ref="J25:J29" si="4">I25*$B$18*$B$19/10^3</f>
        <v>0</v>
      </c>
    </row>
    <row r="26" spans="1:10" x14ac:dyDescent="0.25">
      <c r="G26" s="19">
        <f t="shared" si="0"/>
        <v>2037</v>
      </c>
      <c r="H26" s="19">
        <f t="shared" si="1"/>
        <v>1</v>
      </c>
      <c r="I26" s="29">
        <f t="shared" si="2"/>
        <v>0</v>
      </c>
      <c r="J26" s="56">
        <f t="shared" si="4"/>
        <v>0</v>
      </c>
    </row>
    <row r="27" spans="1:10" x14ac:dyDescent="0.25">
      <c r="G27" s="20">
        <f t="shared" si="0"/>
        <v>2038</v>
      </c>
      <c r="H27" s="20">
        <f t="shared" si="1"/>
        <v>1</v>
      </c>
      <c r="I27" s="29">
        <f t="shared" si="2"/>
        <v>0</v>
      </c>
      <c r="J27" s="63">
        <f t="shared" si="4"/>
        <v>0</v>
      </c>
    </row>
    <row r="28" spans="1:10" x14ac:dyDescent="0.25">
      <c r="G28" s="19">
        <f t="shared" si="0"/>
        <v>2039</v>
      </c>
      <c r="H28" s="19">
        <f t="shared" si="1"/>
        <v>1</v>
      </c>
      <c r="I28" s="29">
        <f t="shared" si="2"/>
        <v>0</v>
      </c>
      <c r="J28" s="56">
        <f t="shared" si="4"/>
        <v>0</v>
      </c>
    </row>
    <row r="29" spans="1:10" x14ac:dyDescent="0.25">
      <c r="A29" s="33"/>
      <c r="G29" s="20">
        <f t="shared" si="0"/>
        <v>2040</v>
      </c>
      <c r="H29" s="20">
        <f t="shared" si="1"/>
        <v>1</v>
      </c>
      <c r="I29" s="29">
        <f t="shared" si="2"/>
        <v>0</v>
      </c>
      <c r="J29" s="63">
        <f t="shared" si="4"/>
        <v>0</v>
      </c>
    </row>
    <row r="51" spans="1:1" x14ac:dyDescent="0.25">
      <c r="A51" t="s">
        <v>23</v>
      </c>
    </row>
    <row r="52" spans="1:1" x14ac:dyDescent="0.25">
      <c r="A52" s="11" t="s">
        <v>25</v>
      </c>
    </row>
    <row r="53" spans="1:1" x14ac:dyDescent="0.25">
      <c r="A53" s="11" t="s">
        <v>24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14" t="s">
        <v>13</v>
      </c>
      <c r="D3" s="14" t="s">
        <v>53</v>
      </c>
      <c r="E3" s="15" t="s">
        <v>22</v>
      </c>
      <c r="G3" s="21" t="s">
        <v>26</v>
      </c>
      <c r="H3" s="21" t="s">
        <v>62</v>
      </c>
      <c r="I3" s="21" t="s">
        <v>78</v>
      </c>
      <c r="J3" s="21" t="s">
        <v>61</v>
      </c>
      <c r="K3" s="21" t="s">
        <v>79</v>
      </c>
    </row>
    <row r="4" spans="1:11" x14ac:dyDescent="0.25">
      <c r="A4" s="12" t="s">
        <v>18</v>
      </c>
      <c r="B4" s="13"/>
      <c r="D4" s="12" t="s">
        <v>68</v>
      </c>
      <c r="E4" s="68">
        <v>2015</v>
      </c>
      <c r="G4" s="19">
        <f>E4</f>
        <v>2015</v>
      </c>
      <c r="H4" s="59">
        <f t="shared" ref="H4:H24" si="0">IF($G4&lt;($G$4+$E$5),$E$17,0)</f>
        <v>0</v>
      </c>
      <c r="I4" s="58">
        <f>H4*$B$20/10^3</f>
        <v>0</v>
      </c>
      <c r="J4" s="59">
        <f t="shared" ref="J4:J24" si="1">IF($G4&lt;($G$4+$E$5),$E$18,0)</f>
        <v>0</v>
      </c>
      <c r="K4" s="58">
        <f>J4*$B$21/10^3</f>
        <v>0</v>
      </c>
    </row>
    <row r="5" spans="1:11" x14ac:dyDescent="0.25">
      <c r="A5" s="12" t="s">
        <v>19</v>
      </c>
      <c r="B5" s="13"/>
      <c r="D5" s="12" t="s">
        <v>57</v>
      </c>
      <c r="E5" s="16">
        <v>10</v>
      </c>
      <c r="G5" s="20">
        <f t="shared" ref="G5:G29" si="2">G4+1</f>
        <v>2016</v>
      </c>
      <c r="H5" s="59">
        <f t="shared" si="0"/>
        <v>0</v>
      </c>
      <c r="I5" s="60">
        <f t="shared" ref="I5:I24" si="3">H5*$B$20/10^3</f>
        <v>0</v>
      </c>
      <c r="J5" s="59">
        <f t="shared" si="1"/>
        <v>0</v>
      </c>
      <c r="K5" s="60">
        <f t="shared" ref="K5:K24" si="4">J5*$B$21/10^3</f>
        <v>0</v>
      </c>
    </row>
    <row r="6" spans="1:11" x14ac:dyDescent="0.25">
      <c r="A6" s="12" t="s">
        <v>58</v>
      </c>
      <c r="B6" s="13">
        <v>2</v>
      </c>
      <c r="D6" s="117" t="s">
        <v>55</v>
      </c>
      <c r="E6" s="118"/>
      <c r="G6" s="19">
        <f t="shared" si="2"/>
        <v>2017</v>
      </c>
      <c r="H6" s="59">
        <f t="shared" si="0"/>
        <v>0</v>
      </c>
      <c r="I6" s="58">
        <f t="shared" si="3"/>
        <v>0</v>
      </c>
      <c r="J6" s="59">
        <f t="shared" si="1"/>
        <v>0</v>
      </c>
      <c r="K6" s="58">
        <f t="shared" si="4"/>
        <v>0</v>
      </c>
    </row>
    <row r="7" spans="1:11" x14ac:dyDescent="0.25">
      <c r="A7" s="12" t="s">
        <v>71</v>
      </c>
      <c r="B7" s="31"/>
      <c r="D7" s="12" t="s">
        <v>54</v>
      </c>
      <c r="E7" s="16"/>
      <c r="G7" s="20">
        <f t="shared" si="2"/>
        <v>2018</v>
      </c>
      <c r="H7" s="59">
        <f t="shared" si="0"/>
        <v>0</v>
      </c>
      <c r="I7" s="60">
        <f t="shared" si="3"/>
        <v>0</v>
      </c>
      <c r="J7" s="59">
        <f t="shared" si="1"/>
        <v>0</v>
      </c>
      <c r="K7" s="60">
        <f t="shared" si="4"/>
        <v>0</v>
      </c>
    </row>
    <row r="8" spans="1:11" x14ac:dyDescent="0.25">
      <c r="A8" s="30" t="s">
        <v>72</v>
      </c>
      <c r="B8" s="31"/>
      <c r="D8" s="117" t="s">
        <v>56</v>
      </c>
      <c r="E8" s="118"/>
      <c r="G8" s="19">
        <f t="shared" si="2"/>
        <v>2019</v>
      </c>
      <c r="H8" s="59">
        <f t="shared" si="0"/>
        <v>0</v>
      </c>
      <c r="I8" s="58">
        <f t="shared" si="3"/>
        <v>0</v>
      </c>
      <c r="J8" s="59">
        <f t="shared" si="1"/>
        <v>0</v>
      </c>
      <c r="K8" s="58">
        <f t="shared" si="4"/>
        <v>0</v>
      </c>
    </row>
    <row r="9" spans="1:11" x14ac:dyDescent="0.25">
      <c r="D9" s="12" t="s">
        <v>59</v>
      </c>
      <c r="E9" s="16"/>
      <c r="G9" s="20">
        <f t="shared" si="2"/>
        <v>2020</v>
      </c>
      <c r="H9" s="59">
        <f t="shared" si="0"/>
        <v>0</v>
      </c>
      <c r="I9" s="60">
        <f t="shared" si="3"/>
        <v>0</v>
      </c>
      <c r="J9" s="59">
        <f t="shared" si="1"/>
        <v>0</v>
      </c>
      <c r="K9" s="60">
        <f t="shared" si="4"/>
        <v>0</v>
      </c>
    </row>
    <row r="10" spans="1:11" x14ac:dyDescent="0.25">
      <c r="A10" s="18" t="s">
        <v>31</v>
      </c>
      <c r="D10" s="12" t="s">
        <v>60</v>
      </c>
      <c r="E10" s="16"/>
      <c r="G10" s="19">
        <f t="shared" si="2"/>
        <v>2021</v>
      </c>
      <c r="H10" s="59">
        <f t="shared" si="0"/>
        <v>0</v>
      </c>
      <c r="I10" s="58">
        <f t="shared" si="3"/>
        <v>0</v>
      </c>
      <c r="J10" s="59">
        <f t="shared" si="1"/>
        <v>0</v>
      </c>
      <c r="K10" s="58">
        <f t="shared" si="4"/>
        <v>0</v>
      </c>
    </row>
    <row r="11" spans="1:11" x14ac:dyDescent="0.25">
      <c r="A11" s="17" t="s">
        <v>80</v>
      </c>
      <c r="B11" s="61">
        <f>(NPV($B$17,K4:K24)+NPV($B$17,I4:I24))/(1+$B$17)^2</f>
        <v>0</v>
      </c>
      <c r="G11" s="20">
        <f t="shared" si="2"/>
        <v>2022</v>
      </c>
      <c r="H11" s="59">
        <f t="shared" si="0"/>
        <v>0</v>
      </c>
      <c r="I11" s="60">
        <f t="shared" si="3"/>
        <v>0</v>
      </c>
      <c r="J11" s="59">
        <f t="shared" si="1"/>
        <v>0</v>
      </c>
      <c r="K11" s="60">
        <f t="shared" si="4"/>
        <v>0</v>
      </c>
    </row>
    <row r="12" spans="1:11" x14ac:dyDescent="0.25">
      <c r="A12" s="17" t="s">
        <v>30</v>
      </c>
      <c r="B12" s="62" t="e">
        <f>B11/B7</f>
        <v>#DIV/0!</v>
      </c>
      <c r="G12" s="19">
        <f t="shared" si="2"/>
        <v>2023</v>
      </c>
      <c r="H12" s="59">
        <f t="shared" si="0"/>
        <v>0</v>
      </c>
      <c r="I12" s="58">
        <f t="shared" si="3"/>
        <v>0</v>
      </c>
      <c r="J12" s="59">
        <f t="shared" si="1"/>
        <v>0</v>
      </c>
      <c r="K12" s="58">
        <f t="shared" si="4"/>
        <v>0</v>
      </c>
    </row>
    <row r="13" spans="1:11" x14ac:dyDescent="0.25">
      <c r="A13" s="17" t="s">
        <v>81</v>
      </c>
      <c r="B13" s="61" t="e">
        <f>B7*(B17/(1-(1+B17)^(-E5))/(SUM(H4:H29)+SUM(J4:J29)))</f>
        <v>#DIV/0!</v>
      </c>
      <c r="G13" s="20">
        <f t="shared" si="2"/>
        <v>2024</v>
      </c>
      <c r="H13" s="59">
        <f t="shared" si="0"/>
        <v>0</v>
      </c>
      <c r="I13" s="60">
        <f t="shared" si="3"/>
        <v>0</v>
      </c>
      <c r="J13" s="59">
        <f t="shared" si="1"/>
        <v>0</v>
      </c>
      <c r="K13" s="60">
        <f t="shared" si="4"/>
        <v>0</v>
      </c>
    </row>
    <row r="14" spans="1:11" x14ac:dyDescent="0.25">
      <c r="G14" s="19">
        <f>G13+1</f>
        <v>2025</v>
      </c>
      <c r="H14" s="59">
        <f t="shared" si="0"/>
        <v>0</v>
      </c>
      <c r="I14" s="58">
        <f t="shared" si="3"/>
        <v>0</v>
      </c>
      <c r="J14" s="59">
        <f t="shared" si="1"/>
        <v>0</v>
      </c>
      <c r="K14" s="58">
        <f t="shared" si="4"/>
        <v>0</v>
      </c>
    </row>
    <row r="15" spans="1:11" x14ac:dyDescent="0.25">
      <c r="A15" s="22" t="s">
        <v>14</v>
      </c>
      <c r="G15" s="20">
        <f t="shared" si="2"/>
        <v>2026</v>
      </c>
      <c r="H15" s="59">
        <f t="shared" si="0"/>
        <v>0</v>
      </c>
      <c r="I15" s="60">
        <f t="shared" si="3"/>
        <v>0</v>
      </c>
      <c r="J15" s="59">
        <f t="shared" si="1"/>
        <v>0</v>
      </c>
      <c r="K15" s="60">
        <f t="shared" si="4"/>
        <v>0</v>
      </c>
    </row>
    <row r="16" spans="1:11" x14ac:dyDescent="0.25">
      <c r="A16" s="23" t="s">
        <v>15</v>
      </c>
      <c r="B16" s="34">
        <v>2015</v>
      </c>
      <c r="D16" s="22" t="s">
        <v>28</v>
      </c>
      <c r="E16" s="32" t="s">
        <v>22</v>
      </c>
      <c r="G16" s="19">
        <f t="shared" si="2"/>
        <v>2027</v>
      </c>
      <c r="H16" s="59">
        <f t="shared" si="0"/>
        <v>0</v>
      </c>
      <c r="I16" s="58">
        <f t="shared" si="3"/>
        <v>0</v>
      </c>
      <c r="J16" s="59">
        <f t="shared" si="1"/>
        <v>0</v>
      </c>
      <c r="K16" s="58">
        <f t="shared" si="4"/>
        <v>0</v>
      </c>
    </row>
    <row r="17" spans="1:11" x14ac:dyDescent="0.25">
      <c r="A17" s="23" t="s">
        <v>16</v>
      </c>
      <c r="B17" s="24">
        <v>7.0000000000000007E-2</v>
      </c>
      <c r="D17" s="26" t="s">
        <v>59</v>
      </c>
      <c r="E17" s="55">
        <f>IF(E9,E9,$E$7*B18*$B$22/10^6)</f>
        <v>0</v>
      </c>
      <c r="G17" s="20">
        <f t="shared" si="2"/>
        <v>2028</v>
      </c>
      <c r="H17" s="59">
        <f t="shared" si="0"/>
        <v>0</v>
      </c>
      <c r="I17" s="60">
        <f t="shared" si="3"/>
        <v>0</v>
      </c>
      <c r="J17" s="59">
        <f t="shared" si="1"/>
        <v>0</v>
      </c>
      <c r="K17" s="60">
        <f t="shared" si="4"/>
        <v>0</v>
      </c>
    </row>
    <row r="18" spans="1:11" x14ac:dyDescent="0.25">
      <c r="A18" s="23" t="s">
        <v>51</v>
      </c>
      <c r="B18" s="66">
        <f>IF($B$6=2,'Assumed Values'!C21,0)</f>
        <v>0.32340150000000001</v>
      </c>
      <c r="D18" s="26" t="s">
        <v>60</v>
      </c>
      <c r="E18" s="55">
        <f>IF(E10,E10,$E$7*B19*$B$22/10^6)</f>
        <v>0</v>
      </c>
      <c r="G18" s="19">
        <f t="shared" si="2"/>
        <v>2029</v>
      </c>
      <c r="H18" s="59">
        <f t="shared" si="0"/>
        <v>0</v>
      </c>
      <c r="I18" s="58">
        <f t="shared" si="3"/>
        <v>0</v>
      </c>
      <c r="J18" s="59">
        <f t="shared" si="1"/>
        <v>0</v>
      </c>
      <c r="K18" s="58">
        <f t="shared" si="4"/>
        <v>0</v>
      </c>
    </row>
    <row r="19" spans="1:11" x14ac:dyDescent="0.25">
      <c r="A19" s="23" t="s">
        <v>52</v>
      </c>
      <c r="B19" s="66">
        <f>IF($B$6=2,'Assumed Values'!C22,0)</f>
        <v>0.19106300000000001</v>
      </c>
      <c r="G19" s="20">
        <f t="shared" si="2"/>
        <v>2030</v>
      </c>
      <c r="H19" s="59">
        <f t="shared" si="0"/>
        <v>0</v>
      </c>
      <c r="I19" s="60">
        <f t="shared" si="3"/>
        <v>0</v>
      </c>
      <c r="J19" s="59">
        <f t="shared" si="1"/>
        <v>0</v>
      </c>
      <c r="K19" s="60">
        <f t="shared" si="4"/>
        <v>0</v>
      </c>
    </row>
    <row r="20" spans="1:11" x14ac:dyDescent="0.25">
      <c r="A20" s="23" t="s">
        <v>86</v>
      </c>
      <c r="B20" s="57">
        <f>'Assumed Values'!C19</f>
        <v>2083.1541467275511</v>
      </c>
      <c r="G20" s="19">
        <f t="shared" si="2"/>
        <v>2031</v>
      </c>
      <c r="H20" s="59">
        <f t="shared" si="0"/>
        <v>0</v>
      </c>
      <c r="I20" s="58">
        <f t="shared" si="3"/>
        <v>0</v>
      </c>
      <c r="J20" s="59">
        <f t="shared" si="1"/>
        <v>0</v>
      </c>
      <c r="K20" s="58">
        <f t="shared" si="4"/>
        <v>0</v>
      </c>
    </row>
    <row r="21" spans="1:11" x14ac:dyDescent="0.25">
      <c r="A21" s="23" t="s">
        <v>87</v>
      </c>
      <c r="B21" s="57">
        <f>'Assumed Values'!C20</f>
        <v>8208.6069103416321</v>
      </c>
      <c r="G21" s="20">
        <f t="shared" si="2"/>
        <v>2032</v>
      </c>
      <c r="H21" s="59">
        <f t="shared" si="0"/>
        <v>0</v>
      </c>
      <c r="I21" s="60">
        <f t="shared" si="3"/>
        <v>0</v>
      </c>
      <c r="J21" s="59">
        <f t="shared" si="1"/>
        <v>0</v>
      </c>
      <c r="K21" s="60">
        <f t="shared" si="4"/>
        <v>0</v>
      </c>
    </row>
    <row r="22" spans="1:11" x14ac:dyDescent="0.25">
      <c r="A22" s="23" t="s">
        <v>29</v>
      </c>
      <c r="B22" s="23">
        <v>260</v>
      </c>
      <c r="G22" s="19">
        <f t="shared" si="2"/>
        <v>2033</v>
      </c>
      <c r="H22" s="59">
        <f t="shared" si="0"/>
        <v>0</v>
      </c>
      <c r="I22" s="58">
        <f t="shared" si="3"/>
        <v>0</v>
      </c>
      <c r="J22" s="59">
        <f t="shared" si="1"/>
        <v>0</v>
      </c>
      <c r="K22" s="58">
        <f t="shared" si="4"/>
        <v>0</v>
      </c>
    </row>
    <row r="23" spans="1:11" x14ac:dyDescent="0.25">
      <c r="G23" s="20">
        <f t="shared" si="2"/>
        <v>2034</v>
      </c>
      <c r="H23" s="59">
        <f t="shared" si="0"/>
        <v>0</v>
      </c>
      <c r="I23" s="60">
        <f t="shared" si="3"/>
        <v>0</v>
      </c>
      <c r="J23" s="59">
        <f t="shared" si="1"/>
        <v>0</v>
      </c>
      <c r="K23" s="60">
        <f t="shared" si="4"/>
        <v>0</v>
      </c>
    </row>
    <row r="24" spans="1:11" x14ac:dyDescent="0.25">
      <c r="G24" s="19">
        <f t="shared" si="2"/>
        <v>2035</v>
      </c>
      <c r="H24" s="59">
        <f t="shared" si="0"/>
        <v>0</v>
      </c>
      <c r="I24" s="58">
        <f t="shared" si="3"/>
        <v>0</v>
      </c>
      <c r="J24" s="59">
        <f t="shared" si="1"/>
        <v>0</v>
      </c>
      <c r="K24" s="58">
        <f t="shared" si="4"/>
        <v>0</v>
      </c>
    </row>
    <row r="25" spans="1:11" x14ac:dyDescent="0.25">
      <c r="G25" s="20">
        <f t="shared" si="2"/>
        <v>2036</v>
      </c>
      <c r="H25" s="59">
        <f t="shared" ref="H25:H28" si="5">IF($G25&lt;($G$4+$E$5),$E$17,0)</f>
        <v>0</v>
      </c>
      <c r="I25" s="60">
        <f t="shared" ref="I25:I29" si="6">H25*$B$20/10^3</f>
        <v>0</v>
      </c>
      <c r="J25" s="59">
        <f t="shared" ref="J25:J28" si="7">IF($G25&lt;($G$4+$E$5),$E$18,0)</f>
        <v>0</v>
      </c>
      <c r="K25" s="60">
        <f t="shared" ref="K25:K29" si="8">J25*$B$21/10^3</f>
        <v>0</v>
      </c>
    </row>
    <row r="26" spans="1:11" x14ac:dyDescent="0.25">
      <c r="G26" s="19">
        <f t="shared" si="2"/>
        <v>2037</v>
      </c>
      <c r="H26" s="59">
        <f t="shared" si="5"/>
        <v>0</v>
      </c>
      <c r="I26" s="58">
        <f t="shared" si="6"/>
        <v>0</v>
      </c>
      <c r="J26" s="59">
        <f t="shared" si="7"/>
        <v>0</v>
      </c>
      <c r="K26" s="58">
        <f t="shared" si="8"/>
        <v>0</v>
      </c>
    </row>
    <row r="27" spans="1:11" x14ac:dyDescent="0.25">
      <c r="G27" s="20">
        <f t="shared" si="2"/>
        <v>2038</v>
      </c>
      <c r="H27" s="59">
        <f t="shared" si="5"/>
        <v>0</v>
      </c>
      <c r="I27" s="60">
        <f t="shared" si="6"/>
        <v>0</v>
      </c>
      <c r="J27" s="59">
        <f t="shared" si="7"/>
        <v>0</v>
      </c>
      <c r="K27" s="60">
        <f t="shared" si="8"/>
        <v>0</v>
      </c>
    </row>
    <row r="28" spans="1:11" x14ac:dyDescent="0.25">
      <c r="G28" s="19">
        <f t="shared" si="2"/>
        <v>2039</v>
      </c>
      <c r="H28" s="59">
        <f t="shared" si="5"/>
        <v>0</v>
      </c>
      <c r="I28" s="58">
        <f t="shared" si="6"/>
        <v>0</v>
      </c>
      <c r="J28" s="59">
        <f t="shared" si="7"/>
        <v>0</v>
      </c>
      <c r="K28" s="58">
        <f t="shared" si="8"/>
        <v>0</v>
      </c>
    </row>
    <row r="29" spans="1:11" x14ac:dyDescent="0.25">
      <c r="G29" s="20">
        <f t="shared" si="2"/>
        <v>2040</v>
      </c>
      <c r="H29" s="59">
        <f>IF($G29&lt;($G$4+$E$5),$E$17,0)</f>
        <v>0</v>
      </c>
      <c r="I29" s="60">
        <f t="shared" si="6"/>
        <v>0</v>
      </c>
      <c r="J29" s="59">
        <f>IF($G29&lt;($G$4+$E$5),$E$18,0)</f>
        <v>0</v>
      </c>
      <c r="K29" s="60">
        <f t="shared" si="8"/>
        <v>0</v>
      </c>
    </row>
    <row r="31" spans="1:11" x14ac:dyDescent="0.25">
      <c r="A31" s="33"/>
    </row>
    <row r="53" spans="1:1" x14ac:dyDescent="0.25">
      <c r="A53" t="s">
        <v>23</v>
      </c>
    </row>
    <row r="54" spans="1:1" x14ac:dyDescent="0.25">
      <c r="A54" s="11" t="s">
        <v>25</v>
      </c>
    </row>
    <row r="55" spans="1:1" x14ac:dyDescent="0.25">
      <c r="A55" s="11" t="s">
        <v>24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8"/>
    <pageSetUpPr fitToPage="1"/>
  </sheetPr>
  <dimension ref="A3:H62"/>
  <sheetViews>
    <sheetView tabSelected="1" topLeftCell="A4" zoomScale="115" zoomScaleNormal="115" workbookViewId="0">
      <selection activeCell="E9" sqref="E9:G15"/>
    </sheetView>
  </sheetViews>
  <sheetFormatPr defaultRowHeight="15" x14ac:dyDescent="0.25"/>
  <cols>
    <col min="1" max="1" width="45.140625" bestFit="1" customWidth="1"/>
    <col min="2" max="2" width="12.5703125" customWidth="1"/>
    <col min="3" max="3" width="5.28515625" customWidth="1"/>
    <col min="4" max="4" width="33.7109375" customWidth="1"/>
    <col min="5" max="5" width="8.7109375" customWidth="1"/>
    <col min="6" max="6" width="9.140625" customWidth="1"/>
    <col min="7" max="7" width="8.7109375" customWidth="1"/>
    <col min="8" max="8" width="10.85546875" customWidth="1"/>
  </cols>
  <sheetData>
    <row r="3" spans="1:8" ht="18.75" x14ac:dyDescent="0.3">
      <c r="A3" s="92" t="s">
        <v>138</v>
      </c>
      <c r="B3" s="93"/>
      <c r="C3" s="93"/>
      <c r="D3" s="93"/>
      <c r="E3" s="93"/>
      <c r="F3" s="93"/>
      <c r="G3" s="93"/>
      <c r="H3" s="93"/>
    </row>
    <row r="5" spans="1:8" x14ac:dyDescent="0.25">
      <c r="A5" s="14" t="s">
        <v>309</v>
      </c>
    </row>
    <row r="6" spans="1:8" x14ac:dyDescent="0.25">
      <c r="A6" s="12" t="s">
        <v>18</v>
      </c>
      <c r="B6" s="13" t="s">
        <v>344</v>
      </c>
      <c r="D6" s="115" t="s">
        <v>307</v>
      </c>
      <c r="E6" s="116"/>
      <c r="F6" s="116"/>
    </row>
    <row r="7" spans="1:8" x14ac:dyDescent="0.25">
      <c r="A7" s="12" t="s">
        <v>118</v>
      </c>
      <c r="B7" s="13">
        <v>300399</v>
      </c>
    </row>
    <row r="8" spans="1:8" x14ac:dyDescent="0.25">
      <c r="A8" s="12" t="s">
        <v>119</v>
      </c>
      <c r="B8" s="13" t="s">
        <v>321</v>
      </c>
    </row>
    <row r="9" spans="1:8" x14ac:dyDescent="0.25">
      <c r="D9" s="110" t="s">
        <v>300</v>
      </c>
      <c r="E9" s="111">
        <v>2011</v>
      </c>
      <c r="F9" s="111">
        <v>2012</v>
      </c>
      <c r="G9" s="111">
        <v>2013</v>
      </c>
      <c r="H9" s="111" t="s">
        <v>304</v>
      </c>
    </row>
    <row r="10" spans="1:8" x14ac:dyDescent="0.25">
      <c r="A10" s="14" t="s">
        <v>308</v>
      </c>
      <c r="D10" s="113" t="s">
        <v>145</v>
      </c>
      <c r="E10" s="114">
        <v>0</v>
      </c>
      <c r="F10" s="114">
        <v>0</v>
      </c>
      <c r="G10" s="114">
        <v>0</v>
      </c>
      <c r="H10" s="112">
        <f>AVERAGE(E10:G10)</f>
        <v>0</v>
      </c>
    </row>
    <row r="11" spans="1:8" x14ac:dyDescent="0.25">
      <c r="A11" s="12" t="s">
        <v>318</v>
      </c>
      <c r="B11" s="68">
        <v>2018</v>
      </c>
      <c r="D11" s="113" t="s">
        <v>151</v>
      </c>
      <c r="E11" s="114">
        <v>1</v>
      </c>
      <c r="F11" s="114">
        <v>0</v>
      </c>
      <c r="G11" s="114">
        <v>0</v>
      </c>
      <c r="H11" s="112">
        <f>AVERAGE(E11:G11)</f>
        <v>0.33333333333333331</v>
      </c>
    </row>
    <row r="12" spans="1:8" x14ac:dyDescent="0.25">
      <c r="A12" s="12" t="s">
        <v>320</v>
      </c>
      <c r="B12" s="108">
        <v>0.45</v>
      </c>
      <c r="D12" s="113" t="s">
        <v>150</v>
      </c>
      <c r="E12" s="114">
        <v>7</v>
      </c>
      <c r="F12" s="114">
        <v>0</v>
      </c>
      <c r="G12" s="114">
        <v>1</v>
      </c>
      <c r="H12" s="112">
        <f t="shared" ref="H12:H15" si="0">AVERAGE(E12:G12)</f>
        <v>2.6666666666666665</v>
      </c>
    </row>
    <row r="13" spans="1:8" x14ac:dyDescent="0.25">
      <c r="A13" s="12" t="s">
        <v>319</v>
      </c>
      <c r="B13" s="68">
        <v>20</v>
      </c>
      <c r="D13" s="113" t="s">
        <v>149</v>
      </c>
      <c r="E13" s="114">
        <v>7</v>
      </c>
      <c r="F13" s="114">
        <v>2</v>
      </c>
      <c r="G13" s="114">
        <v>3</v>
      </c>
      <c r="H13" s="112">
        <f t="shared" si="0"/>
        <v>4</v>
      </c>
    </row>
    <row r="14" spans="1:8" x14ac:dyDescent="0.25">
      <c r="D14" s="113" t="s">
        <v>148</v>
      </c>
      <c r="E14" s="114">
        <v>45</v>
      </c>
      <c r="F14" s="114">
        <v>22</v>
      </c>
      <c r="G14" s="114">
        <v>24</v>
      </c>
      <c r="H14" s="112">
        <f t="shared" si="0"/>
        <v>30.333333333333332</v>
      </c>
    </row>
    <row r="15" spans="1:8" x14ac:dyDescent="0.25">
      <c r="A15" s="14" t="s">
        <v>120</v>
      </c>
      <c r="B15" s="15" t="s">
        <v>22</v>
      </c>
      <c r="D15" s="113" t="s">
        <v>147</v>
      </c>
      <c r="E15" s="114">
        <v>1</v>
      </c>
      <c r="F15" s="114">
        <v>0</v>
      </c>
      <c r="G15" s="114">
        <v>0</v>
      </c>
      <c r="H15" s="112">
        <f t="shared" si="0"/>
        <v>0.33333333333333331</v>
      </c>
    </row>
    <row r="16" spans="1:8" x14ac:dyDescent="0.25">
      <c r="A16" s="12" t="s">
        <v>127</v>
      </c>
      <c r="B16" s="16">
        <v>8600</v>
      </c>
    </row>
    <row r="17" spans="1:8" x14ac:dyDescent="0.25">
      <c r="A17" s="12" t="s">
        <v>128</v>
      </c>
      <c r="B17" s="16">
        <v>17200</v>
      </c>
    </row>
    <row r="18" spans="1:8" x14ac:dyDescent="0.25">
      <c r="A18" s="96" t="s">
        <v>112</v>
      </c>
      <c r="B18" s="97">
        <v>12500</v>
      </c>
    </row>
    <row r="19" spans="1:8" x14ac:dyDescent="0.25">
      <c r="A19" s="96" t="s">
        <v>113</v>
      </c>
      <c r="B19" s="97">
        <v>17200</v>
      </c>
    </row>
    <row r="20" spans="1:8" x14ac:dyDescent="0.25">
      <c r="A20" s="12" t="s">
        <v>69</v>
      </c>
      <c r="B20" s="16">
        <v>17500</v>
      </c>
    </row>
    <row r="21" spans="1:8" x14ac:dyDescent="0.25">
      <c r="A21" s="12" t="s">
        <v>70</v>
      </c>
      <c r="B21" s="16">
        <v>17200</v>
      </c>
    </row>
    <row r="26" spans="1:8" ht="18.75" x14ac:dyDescent="0.3">
      <c r="A26" s="92" t="s">
        <v>139</v>
      </c>
      <c r="B26" s="93"/>
      <c r="C26" s="93"/>
      <c r="D26" s="93"/>
      <c r="E26" s="93"/>
      <c r="F26" s="93"/>
      <c r="G26" s="93"/>
      <c r="H26" s="93"/>
    </row>
    <row r="28" spans="1:8" x14ac:dyDescent="0.25">
      <c r="A28" s="18" t="s">
        <v>137</v>
      </c>
    </row>
    <row r="29" spans="1:8" x14ac:dyDescent="0.25">
      <c r="A29" s="17" t="s">
        <v>305</v>
      </c>
      <c r="B29" s="65">
        <f>NPV(7%,Value_of_Delay_Savings__2015_____000s)/(1+7%)^(2018-2015-1)</f>
        <v>5127.6965785050015</v>
      </c>
      <c r="C29" s="95"/>
    </row>
    <row r="30" spans="1:8" x14ac:dyDescent="0.25">
      <c r="A30" s="17" t="s">
        <v>306</v>
      </c>
      <c r="B30" s="65">
        <f>NPV(3%,Value_of_Delay_Savings__2015_____000s)/(1+3%)^(2018-2015-1)</f>
        <v>8091.8247522261772</v>
      </c>
      <c r="C30" s="95"/>
    </row>
    <row r="38" spans="1:1" x14ac:dyDescent="0.25">
      <c r="A38" s="33"/>
    </row>
    <row r="61" spans="1:1" x14ac:dyDescent="0.25">
      <c r="A61" s="11"/>
    </row>
    <row r="62" spans="1:1" x14ac:dyDescent="0.25">
      <c r="A62" s="11"/>
    </row>
  </sheetData>
  <pageMargins left="0.25" right="0.25" top="0.75" bottom="0.75" header="0.3" footer="0.3"/>
  <pageSetup scale="99"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0]!Crash_Hist_Macro">
                <anchor moveWithCells="1" sizeWithCells="1">
                  <from>
                    <xdr:col>4</xdr:col>
                    <xdr:colOff>0</xdr:colOff>
                    <xdr:row>5</xdr:row>
                    <xdr:rowOff>28575</xdr:rowOff>
                  </from>
                  <to>
                    <xdr:col>5</xdr:col>
                    <xdr:colOff>0</xdr:colOff>
                    <xdr:row>6</xdr:row>
                    <xdr:rowOff>0</xdr:rowOff>
                  </to>
                </anchor>
              </controlPr>
            </control>
          </mc:Choice>
        </mc:AlternateContent>
        <mc:AlternateContent xmlns:mc="http://schemas.openxmlformats.org/markup-compatibility/2006">
          <mc:Choice Requires="x14">
            <control shapeId="6146" r:id="rId5" name="Button 2">
              <controlPr defaultSize="0" print="0" autoFill="0" autoPict="0" macro="[0]!Crash_Hist_Macro">
                <anchor moveWithCells="1" sizeWithCells="1">
                  <from>
                    <xdr:col>4</xdr:col>
                    <xdr:colOff>0</xdr:colOff>
                    <xdr:row>5</xdr:row>
                    <xdr:rowOff>19050</xdr:rowOff>
                  </from>
                  <to>
                    <xdr:col>5</xdr:col>
                    <xdr:colOff>0</xdr:colOff>
                    <xdr:row>5</xdr:row>
                    <xdr:rowOff>180975</xdr:rowOff>
                  </to>
                </anchor>
              </controlPr>
            </control>
          </mc:Choice>
        </mc:AlternateContent>
        <mc:AlternateContent xmlns:mc="http://schemas.openxmlformats.org/markup-compatibility/2006">
          <mc:Choice Requires="x14">
            <control shapeId="6149" r:id="rId6" name="Button 5">
              <controlPr defaultSize="0" print="0" autoFill="0" autoPict="0" macro="[0]!Crash_Hist_Reset_Macro">
                <anchor moveWithCells="1" sizeWithCells="1">
                  <from>
                    <xdr:col>5</xdr:col>
                    <xdr:colOff>19050</xdr:colOff>
                    <xdr:row>5</xdr:row>
                    <xdr:rowOff>19050</xdr:rowOff>
                  </from>
                  <to>
                    <xdr:col>5</xdr:col>
                    <xdr:colOff>600075</xdr:colOff>
                    <xdr:row>5</xdr:row>
                    <xdr:rowOff>180975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7" tint="0.59999389629810485"/>
  </sheetPr>
  <dimension ref="A1:FD46"/>
  <sheetViews>
    <sheetView workbookViewId="0">
      <selection sqref="A1:FD46"/>
    </sheetView>
  </sheetViews>
  <sheetFormatPr defaultRowHeight="15" x14ac:dyDescent="0.25"/>
  <cols>
    <col min="38" max="38" width="24" bestFit="1" customWidth="1"/>
  </cols>
  <sheetData>
    <row r="1" spans="1:160" x14ac:dyDescent="0.25">
      <c r="A1" t="s">
        <v>299</v>
      </c>
      <c r="B1" t="s">
        <v>298</v>
      </c>
      <c r="C1" t="s">
        <v>297</v>
      </c>
      <c r="D1" t="s">
        <v>296</v>
      </c>
      <c r="E1" t="s">
        <v>295</v>
      </c>
      <c r="F1" t="s">
        <v>294</v>
      </c>
      <c r="G1" t="s">
        <v>293</v>
      </c>
      <c r="H1" t="s">
        <v>292</v>
      </c>
      <c r="I1" t="s">
        <v>291</v>
      </c>
      <c r="J1" t="s">
        <v>290</v>
      </c>
      <c r="K1" t="s">
        <v>289</v>
      </c>
      <c r="L1" t="s">
        <v>288</v>
      </c>
      <c r="M1" t="s">
        <v>287</v>
      </c>
      <c r="N1" t="s">
        <v>286</v>
      </c>
      <c r="O1" t="s">
        <v>285</v>
      </c>
      <c r="P1" t="s">
        <v>284</v>
      </c>
      <c r="Q1" t="s">
        <v>283</v>
      </c>
      <c r="R1" t="s">
        <v>282</v>
      </c>
      <c r="S1" t="s">
        <v>281</v>
      </c>
      <c r="T1" t="s">
        <v>280</v>
      </c>
      <c r="U1" t="s">
        <v>279</v>
      </c>
      <c r="V1" t="s">
        <v>278</v>
      </c>
      <c r="W1" t="s">
        <v>277</v>
      </c>
      <c r="X1" t="s">
        <v>276</v>
      </c>
      <c r="Y1" t="s">
        <v>275</v>
      </c>
      <c r="Z1" t="s">
        <v>274</v>
      </c>
      <c r="AA1" t="s">
        <v>273</v>
      </c>
      <c r="AB1" t="s">
        <v>272</v>
      </c>
      <c r="AC1" t="s">
        <v>271</v>
      </c>
      <c r="AD1" t="s">
        <v>270</v>
      </c>
      <c r="AE1" t="s">
        <v>269</v>
      </c>
      <c r="AF1" t="s">
        <v>268</v>
      </c>
      <c r="AG1" t="s">
        <v>267</v>
      </c>
      <c r="AH1" t="s">
        <v>266</v>
      </c>
      <c r="AI1" t="s">
        <v>265</v>
      </c>
      <c r="AJ1" t="s">
        <v>264</v>
      </c>
      <c r="AK1" t="s">
        <v>263</v>
      </c>
      <c r="AL1" t="s">
        <v>262</v>
      </c>
      <c r="AM1" t="s">
        <v>261</v>
      </c>
      <c r="AN1" t="s">
        <v>260</v>
      </c>
      <c r="AO1" t="s">
        <v>259</v>
      </c>
      <c r="AP1" t="s">
        <v>258</v>
      </c>
      <c r="AQ1" t="s">
        <v>257</v>
      </c>
      <c r="AR1" t="s">
        <v>256</v>
      </c>
      <c r="AS1" t="s">
        <v>255</v>
      </c>
      <c r="AT1" t="s">
        <v>254</v>
      </c>
      <c r="AU1" t="s">
        <v>253</v>
      </c>
      <c r="AV1" t="s">
        <v>252</v>
      </c>
      <c r="AW1" t="s">
        <v>251</v>
      </c>
      <c r="AX1" t="s">
        <v>250</v>
      </c>
      <c r="AY1" t="s">
        <v>249</v>
      </c>
      <c r="AZ1" t="s">
        <v>248</v>
      </c>
      <c r="BA1" t="s">
        <v>247</v>
      </c>
      <c r="BB1" t="s">
        <v>246</v>
      </c>
      <c r="BC1" t="s">
        <v>245</v>
      </c>
      <c r="BD1" t="s">
        <v>244</v>
      </c>
      <c r="BE1" t="s">
        <v>243</v>
      </c>
      <c r="BF1" t="s">
        <v>242</v>
      </c>
      <c r="BG1" t="s">
        <v>241</v>
      </c>
      <c r="BH1" t="s">
        <v>240</v>
      </c>
      <c r="BI1" t="s">
        <v>239</v>
      </c>
      <c r="BJ1" t="s">
        <v>238</v>
      </c>
      <c r="BK1" t="s">
        <v>237</v>
      </c>
      <c r="BL1" t="s">
        <v>236</v>
      </c>
      <c r="BM1" t="s">
        <v>235</v>
      </c>
      <c r="BN1" t="s">
        <v>234</v>
      </c>
      <c r="BO1" t="s">
        <v>233</v>
      </c>
      <c r="BP1" t="s">
        <v>232</v>
      </c>
      <c r="BQ1" t="s">
        <v>231</v>
      </c>
      <c r="BR1" t="s">
        <v>230</v>
      </c>
      <c r="BS1" t="s">
        <v>229</v>
      </c>
      <c r="BT1" t="s">
        <v>228</v>
      </c>
      <c r="BU1" t="s">
        <v>227</v>
      </c>
      <c r="BV1" t="s">
        <v>226</v>
      </c>
      <c r="BW1" t="s">
        <v>225</v>
      </c>
      <c r="BX1" t="s">
        <v>224</v>
      </c>
      <c r="BY1" t="s">
        <v>223</v>
      </c>
      <c r="BZ1" t="s">
        <v>222</v>
      </c>
      <c r="CA1" t="s">
        <v>221</v>
      </c>
      <c r="CB1" t="s">
        <v>220</v>
      </c>
      <c r="CC1" t="s">
        <v>219</v>
      </c>
      <c r="CD1" t="s">
        <v>218</v>
      </c>
      <c r="CE1" t="s">
        <v>217</v>
      </c>
      <c r="CF1" t="s">
        <v>216</v>
      </c>
      <c r="CG1" t="s">
        <v>215</v>
      </c>
      <c r="CH1" t="s">
        <v>214</v>
      </c>
      <c r="CI1" t="s">
        <v>213</v>
      </c>
      <c r="CJ1" t="s">
        <v>212</v>
      </c>
      <c r="CK1" t="s">
        <v>211</v>
      </c>
      <c r="CL1" t="s">
        <v>210</v>
      </c>
      <c r="CM1" t="s">
        <v>209</v>
      </c>
      <c r="CN1" t="s">
        <v>208</v>
      </c>
      <c r="CO1" t="s">
        <v>207</v>
      </c>
      <c r="CP1" t="s">
        <v>206</v>
      </c>
      <c r="CQ1" t="s">
        <v>205</v>
      </c>
      <c r="CR1" t="s">
        <v>204</v>
      </c>
      <c r="CS1" t="s">
        <v>203</v>
      </c>
      <c r="CT1" t="s">
        <v>202</v>
      </c>
      <c r="CU1" t="s">
        <v>201</v>
      </c>
      <c r="CV1" t="s">
        <v>200</v>
      </c>
      <c r="CW1" t="s">
        <v>199</v>
      </c>
      <c r="CX1" t="s">
        <v>198</v>
      </c>
      <c r="CY1" t="s">
        <v>197</v>
      </c>
      <c r="CZ1" t="s">
        <v>196</v>
      </c>
      <c r="DA1" t="s">
        <v>195</v>
      </c>
      <c r="DB1" t="s">
        <v>194</v>
      </c>
      <c r="DC1" t="s">
        <v>193</v>
      </c>
      <c r="DD1" t="s">
        <v>192</v>
      </c>
      <c r="DE1" t="s">
        <v>191</v>
      </c>
      <c r="DF1" t="s">
        <v>190</v>
      </c>
      <c r="DG1" t="s">
        <v>189</v>
      </c>
      <c r="DH1" t="s">
        <v>188</v>
      </c>
      <c r="DI1" t="s">
        <v>187</v>
      </c>
      <c r="DJ1" t="s">
        <v>186</v>
      </c>
      <c r="DK1" t="s">
        <v>185</v>
      </c>
      <c r="DL1" t="s">
        <v>184</v>
      </c>
      <c r="DM1" t="s">
        <v>183</v>
      </c>
      <c r="DN1" t="s">
        <v>182</v>
      </c>
      <c r="DO1" t="s">
        <v>181</v>
      </c>
      <c r="DP1" t="s">
        <v>180</v>
      </c>
      <c r="DQ1" t="s">
        <v>179</v>
      </c>
      <c r="DR1" t="s">
        <v>178</v>
      </c>
      <c r="DS1" t="s">
        <v>177</v>
      </c>
      <c r="DT1" t="s">
        <v>176</v>
      </c>
      <c r="DU1" t="s">
        <v>175</v>
      </c>
      <c r="DV1" t="s">
        <v>174</v>
      </c>
      <c r="DW1" t="s">
        <v>173</v>
      </c>
      <c r="DX1" t="s">
        <v>172</v>
      </c>
      <c r="DY1" t="s">
        <v>171</v>
      </c>
      <c r="DZ1" t="s">
        <v>170</v>
      </c>
      <c r="EA1" t="s">
        <v>169</v>
      </c>
      <c r="EB1" t="s">
        <v>168</v>
      </c>
      <c r="EC1" t="s">
        <v>167</v>
      </c>
      <c r="ED1" t="s">
        <v>166</v>
      </c>
      <c r="EE1" t="s">
        <v>165</v>
      </c>
      <c r="EF1" t="s">
        <v>164</v>
      </c>
      <c r="EG1" t="s">
        <v>163</v>
      </c>
      <c r="EH1" t="s">
        <v>162</v>
      </c>
      <c r="EI1" t="s">
        <v>161</v>
      </c>
      <c r="EJ1" t="s">
        <v>160</v>
      </c>
      <c r="EK1" t="s">
        <v>159</v>
      </c>
      <c r="EL1" t="s">
        <v>158</v>
      </c>
      <c r="EM1" t="s">
        <v>157</v>
      </c>
      <c r="EN1" t="s">
        <v>156</v>
      </c>
      <c r="EO1" t="s">
        <v>155</v>
      </c>
      <c r="EP1" t="s">
        <v>154</v>
      </c>
      <c r="EQ1" t="s">
        <v>153</v>
      </c>
      <c r="ER1" t="s">
        <v>152</v>
      </c>
      <c r="ES1" t="s">
        <v>151</v>
      </c>
      <c r="ET1" t="s">
        <v>150</v>
      </c>
      <c r="EU1" t="s">
        <v>149</v>
      </c>
      <c r="EV1" t="s">
        <v>148</v>
      </c>
      <c r="EW1" t="s">
        <v>147</v>
      </c>
      <c r="EX1" t="s">
        <v>146</v>
      </c>
      <c r="EY1" t="s">
        <v>145</v>
      </c>
      <c r="EZ1" t="s">
        <v>26</v>
      </c>
      <c r="FA1" t="s">
        <v>330</v>
      </c>
      <c r="FB1" t="s">
        <v>331</v>
      </c>
      <c r="FC1" t="s">
        <v>332</v>
      </c>
      <c r="FD1" t="s">
        <v>333</v>
      </c>
    </row>
    <row r="2" spans="1:160" x14ac:dyDescent="0.25">
      <c r="A2">
        <v>13652524</v>
      </c>
      <c r="B2" t="s">
        <v>141</v>
      </c>
      <c r="C2" t="s">
        <v>141</v>
      </c>
      <c r="D2" t="s">
        <v>141</v>
      </c>
      <c r="E2" t="s">
        <v>141</v>
      </c>
      <c r="F2" t="s">
        <v>141</v>
      </c>
      <c r="G2" t="s">
        <v>141</v>
      </c>
      <c r="H2" t="s">
        <v>141</v>
      </c>
      <c r="I2" s="99">
        <v>41634</v>
      </c>
      <c r="J2" s="98">
        <v>0.875</v>
      </c>
      <c r="L2">
        <v>20</v>
      </c>
      <c r="M2">
        <v>1585</v>
      </c>
      <c r="N2" t="s">
        <v>142</v>
      </c>
      <c r="O2" t="s">
        <v>142</v>
      </c>
      <c r="P2">
        <v>29.540779990000001</v>
      </c>
      <c r="Q2">
        <v>-95.400329999999997</v>
      </c>
      <c r="R2">
        <v>15</v>
      </c>
      <c r="S2">
        <v>59</v>
      </c>
      <c r="U2">
        <v>1</v>
      </c>
      <c r="X2" t="s">
        <v>322</v>
      </c>
      <c r="Z2" t="s">
        <v>141</v>
      </c>
      <c r="AA2" t="s">
        <v>141</v>
      </c>
      <c r="AB2">
        <v>35</v>
      </c>
      <c r="AC2" t="s">
        <v>141</v>
      </c>
      <c r="AD2" t="s">
        <v>141</v>
      </c>
      <c r="AE2" t="s">
        <v>142</v>
      </c>
      <c r="AF2">
        <v>19</v>
      </c>
      <c r="AI2">
        <v>1</v>
      </c>
      <c r="AL2" t="s">
        <v>334</v>
      </c>
      <c r="AM2" t="s">
        <v>325</v>
      </c>
      <c r="AS2">
        <v>11</v>
      </c>
      <c r="AT2">
        <v>3</v>
      </c>
      <c r="AU2">
        <v>4</v>
      </c>
      <c r="AW2">
        <v>1</v>
      </c>
      <c r="AX2">
        <v>1</v>
      </c>
      <c r="AY2">
        <v>8</v>
      </c>
      <c r="AZ2">
        <v>10000</v>
      </c>
      <c r="BA2">
        <v>8</v>
      </c>
      <c r="BB2">
        <v>2</v>
      </c>
      <c r="BC2">
        <v>1</v>
      </c>
      <c r="BD2">
        <v>14</v>
      </c>
      <c r="BE2">
        <v>64</v>
      </c>
      <c r="BF2">
        <v>54</v>
      </c>
      <c r="BG2">
        <v>1</v>
      </c>
      <c r="BH2">
        <v>4</v>
      </c>
      <c r="BI2">
        <v>1</v>
      </c>
      <c r="BJ2">
        <v>21</v>
      </c>
      <c r="BK2">
        <v>21</v>
      </c>
      <c r="BL2">
        <v>20</v>
      </c>
      <c r="BM2">
        <v>1585</v>
      </c>
      <c r="BN2">
        <v>29.541131</v>
      </c>
      <c r="BO2">
        <v>-95.400355000000005</v>
      </c>
      <c r="BT2" t="s">
        <v>335</v>
      </c>
      <c r="CD2" t="s">
        <v>323</v>
      </c>
      <c r="CI2" t="s">
        <v>142</v>
      </c>
      <c r="CJ2" t="s">
        <v>141</v>
      </c>
      <c r="CK2" t="s">
        <v>142</v>
      </c>
      <c r="CL2">
        <v>5</v>
      </c>
      <c r="CM2">
        <v>0</v>
      </c>
      <c r="CN2" t="s">
        <v>142</v>
      </c>
      <c r="CO2" t="s">
        <v>328</v>
      </c>
      <c r="ES2">
        <v>0</v>
      </c>
      <c r="ET2">
        <v>0</v>
      </c>
      <c r="EU2">
        <v>0</v>
      </c>
      <c r="EV2">
        <v>2</v>
      </c>
      <c r="EW2">
        <v>0</v>
      </c>
      <c r="EX2">
        <v>0</v>
      </c>
      <c r="EY2">
        <v>0</v>
      </c>
      <c r="EZ2">
        <v>2013</v>
      </c>
      <c r="FA2">
        <v>2013</v>
      </c>
      <c r="FB2">
        <v>20</v>
      </c>
      <c r="FC2">
        <v>59</v>
      </c>
      <c r="FD2" t="s">
        <v>322</v>
      </c>
    </row>
    <row r="3" spans="1:160" x14ac:dyDescent="0.25">
      <c r="A3">
        <v>12092280</v>
      </c>
      <c r="B3" t="s">
        <v>141</v>
      </c>
      <c r="C3" t="s">
        <v>141</v>
      </c>
      <c r="D3" t="s">
        <v>141</v>
      </c>
      <c r="E3" t="s">
        <v>141</v>
      </c>
      <c r="F3" t="s">
        <v>141</v>
      </c>
      <c r="G3" t="s">
        <v>141</v>
      </c>
      <c r="H3" t="s">
        <v>141</v>
      </c>
      <c r="I3" s="99">
        <v>40656</v>
      </c>
      <c r="J3" s="98">
        <v>0.89513888888888893</v>
      </c>
      <c r="L3">
        <v>20</v>
      </c>
      <c r="M3">
        <v>1585</v>
      </c>
      <c r="N3" t="s">
        <v>142</v>
      </c>
      <c r="O3" t="s">
        <v>142</v>
      </c>
      <c r="P3">
        <v>29.541319999999999</v>
      </c>
      <c r="Q3">
        <v>-95.393720000000002</v>
      </c>
      <c r="R3">
        <v>15</v>
      </c>
      <c r="S3">
        <v>59</v>
      </c>
      <c r="U3">
        <v>1</v>
      </c>
      <c r="X3" t="s">
        <v>322</v>
      </c>
      <c r="Z3" t="s">
        <v>141</v>
      </c>
      <c r="AA3" t="s">
        <v>141</v>
      </c>
      <c r="AB3">
        <v>40</v>
      </c>
      <c r="AC3" t="s">
        <v>141</v>
      </c>
      <c r="AD3" t="s">
        <v>141</v>
      </c>
      <c r="AE3" t="s">
        <v>141</v>
      </c>
      <c r="AF3">
        <v>19</v>
      </c>
      <c r="AL3" t="s">
        <v>334</v>
      </c>
      <c r="AM3" t="s">
        <v>325</v>
      </c>
      <c r="AS3">
        <v>11</v>
      </c>
      <c r="AT3">
        <v>3</v>
      </c>
      <c r="AU3">
        <v>0</v>
      </c>
      <c r="AW3">
        <v>1</v>
      </c>
      <c r="AX3">
        <v>1</v>
      </c>
      <c r="AY3">
        <v>11</v>
      </c>
      <c r="AZ3">
        <v>10000</v>
      </c>
      <c r="BA3">
        <v>8</v>
      </c>
      <c r="BB3">
        <v>2</v>
      </c>
      <c r="BC3">
        <v>4</v>
      </c>
      <c r="BD3">
        <v>30</v>
      </c>
      <c r="BE3">
        <v>64</v>
      </c>
      <c r="BF3">
        <v>54</v>
      </c>
      <c r="BG3">
        <v>1</v>
      </c>
      <c r="BH3">
        <v>4</v>
      </c>
      <c r="BI3">
        <v>1</v>
      </c>
      <c r="BJ3">
        <v>21</v>
      </c>
      <c r="BK3">
        <v>21</v>
      </c>
      <c r="BL3">
        <v>20</v>
      </c>
      <c r="BM3">
        <v>1585</v>
      </c>
      <c r="BN3">
        <v>29.54131941</v>
      </c>
      <c r="BO3">
        <v>-95.393733960000006</v>
      </c>
      <c r="BT3" t="s">
        <v>336</v>
      </c>
      <c r="CD3" t="s">
        <v>321</v>
      </c>
      <c r="CI3" t="s">
        <v>142</v>
      </c>
      <c r="CJ3" t="s">
        <v>141</v>
      </c>
      <c r="CK3" t="s">
        <v>142</v>
      </c>
      <c r="CL3">
        <v>5</v>
      </c>
      <c r="CM3">
        <v>0</v>
      </c>
      <c r="CN3" t="s">
        <v>142</v>
      </c>
      <c r="CO3" t="s">
        <v>144</v>
      </c>
      <c r="ES3">
        <v>0</v>
      </c>
      <c r="ET3">
        <v>0</v>
      </c>
      <c r="EU3">
        <v>0</v>
      </c>
      <c r="EV3">
        <v>2</v>
      </c>
      <c r="EW3">
        <v>1</v>
      </c>
      <c r="EX3">
        <v>0</v>
      </c>
      <c r="EY3">
        <v>0</v>
      </c>
      <c r="EZ3">
        <v>2011</v>
      </c>
      <c r="FA3">
        <v>2011</v>
      </c>
      <c r="FB3">
        <v>20</v>
      </c>
      <c r="FC3">
        <v>59</v>
      </c>
      <c r="FD3" t="s">
        <v>322</v>
      </c>
    </row>
    <row r="4" spans="1:160" x14ac:dyDescent="0.25">
      <c r="A4">
        <v>11489138</v>
      </c>
      <c r="B4" t="s">
        <v>141</v>
      </c>
      <c r="C4" t="s">
        <v>141</v>
      </c>
      <c r="D4" t="s">
        <v>141</v>
      </c>
      <c r="E4" t="s">
        <v>141</v>
      </c>
      <c r="F4" t="s">
        <v>141</v>
      </c>
      <c r="G4" t="s">
        <v>141</v>
      </c>
      <c r="H4" t="s">
        <v>141</v>
      </c>
      <c r="I4" s="99">
        <v>40300</v>
      </c>
      <c r="J4" s="98">
        <v>6.9444444444444434E-2</v>
      </c>
      <c r="L4">
        <v>20</v>
      </c>
      <c r="M4">
        <v>1585</v>
      </c>
      <c r="N4" t="s">
        <v>142</v>
      </c>
      <c r="O4" t="s">
        <v>142</v>
      </c>
      <c r="P4">
        <v>29.540900000000001</v>
      </c>
      <c r="Q4">
        <v>-95.400289999999998</v>
      </c>
      <c r="R4">
        <v>15</v>
      </c>
      <c r="S4">
        <v>59</v>
      </c>
      <c r="U4">
        <v>1</v>
      </c>
      <c r="X4" t="s">
        <v>322</v>
      </c>
      <c r="Z4" t="s">
        <v>141</v>
      </c>
      <c r="AA4" t="s">
        <v>141</v>
      </c>
      <c r="AB4">
        <v>45</v>
      </c>
      <c r="AC4" t="s">
        <v>141</v>
      </c>
      <c r="AD4" t="s">
        <v>141</v>
      </c>
      <c r="AE4" t="s">
        <v>141</v>
      </c>
      <c r="AF4">
        <v>19</v>
      </c>
      <c r="AL4" t="s">
        <v>334</v>
      </c>
      <c r="AM4" t="s">
        <v>325</v>
      </c>
      <c r="AS4">
        <v>11</v>
      </c>
      <c r="AT4">
        <v>3</v>
      </c>
      <c r="AU4">
        <v>0</v>
      </c>
      <c r="AW4">
        <v>1</v>
      </c>
      <c r="AX4">
        <v>1</v>
      </c>
      <c r="AY4">
        <v>11</v>
      </c>
      <c r="AZ4">
        <v>10000</v>
      </c>
      <c r="BA4">
        <v>8</v>
      </c>
      <c r="BB4">
        <v>2</v>
      </c>
      <c r="BC4">
        <v>2</v>
      </c>
      <c r="BD4">
        <v>30</v>
      </c>
      <c r="BE4">
        <v>64</v>
      </c>
      <c r="BF4">
        <v>54</v>
      </c>
      <c r="BG4">
        <v>1</v>
      </c>
      <c r="BH4">
        <v>4</v>
      </c>
      <c r="BI4">
        <v>1</v>
      </c>
      <c r="BJ4">
        <v>21</v>
      </c>
      <c r="BK4">
        <v>21</v>
      </c>
      <c r="BL4">
        <v>20</v>
      </c>
      <c r="BM4">
        <v>1585</v>
      </c>
      <c r="BN4">
        <v>29.541131</v>
      </c>
      <c r="BO4">
        <v>-95.400355000000005</v>
      </c>
      <c r="BT4" t="s">
        <v>335</v>
      </c>
      <c r="CD4" t="s">
        <v>323</v>
      </c>
      <c r="CI4" t="s">
        <v>142</v>
      </c>
      <c r="CJ4" t="s">
        <v>141</v>
      </c>
      <c r="CK4" t="s">
        <v>142</v>
      </c>
      <c r="CL4">
        <v>5</v>
      </c>
      <c r="CM4">
        <v>0</v>
      </c>
      <c r="CN4" t="s">
        <v>142</v>
      </c>
      <c r="CO4" t="s">
        <v>324</v>
      </c>
      <c r="ES4">
        <v>0</v>
      </c>
      <c r="ET4">
        <v>0</v>
      </c>
      <c r="EU4">
        <v>0</v>
      </c>
      <c r="EV4">
        <v>4</v>
      </c>
      <c r="EW4">
        <v>0</v>
      </c>
      <c r="EX4">
        <v>0</v>
      </c>
      <c r="EY4">
        <v>0</v>
      </c>
      <c r="EZ4">
        <v>2010</v>
      </c>
      <c r="FA4">
        <v>2010</v>
      </c>
      <c r="FB4">
        <v>20</v>
      </c>
      <c r="FC4">
        <v>59</v>
      </c>
      <c r="FD4" t="s">
        <v>322</v>
      </c>
    </row>
    <row r="5" spans="1:160" x14ac:dyDescent="0.25">
      <c r="A5">
        <v>11484255</v>
      </c>
      <c r="B5" t="s">
        <v>141</v>
      </c>
      <c r="C5" t="s">
        <v>141</v>
      </c>
      <c r="D5" t="s">
        <v>141</v>
      </c>
      <c r="E5" t="s">
        <v>141</v>
      </c>
      <c r="F5" t="s">
        <v>141</v>
      </c>
      <c r="G5" t="s">
        <v>141</v>
      </c>
      <c r="H5" t="s">
        <v>141</v>
      </c>
      <c r="I5" s="99">
        <v>40283</v>
      </c>
      <c r="J5" s="98">
        <v>0.73611111111111116</v>
      </c>
      <c r="L5">
        <v>20</v>
      </c>
      <c r="M5">
        <v>1585</v>
      </c>
      <c r="N5" t="s">
        <v>142</v>
      </c>
      <c r="O5" t="s">
        <v>142</v>
      </c>
      <c r="P5">
        <v>29.541049999999998</v>
      </c>
      <c r="Q5">
        <v>-95.400329999999997</v>
      </c>
      <c r="R5">
        <v>15</v>
      </c>
      <c r="S5">
        <v>59</v>
      </c>
      <c r="U5">
        <v>1</v>
      </c>
      <c r="X5" t="s">
        <v>322</v>
      </c>
      <c r="Z5" t="s">
        <v>141</v>
      </c>
      <c r="AA5" t="s">
        <v>141</v>
      </c>
      <c r="AB5">
        <v>45</v>
      </c>
      <c r="AC5" t="s">
        <v>141</v>
      </c>
      <c r="AD5" t="s">
        <v>141</v>
      </c>
      <c r="AE5" t="s">
        <v>141</v>
      </c>
      <c r="AF5">
        <v>19</v>
      </c>
      <c r="AL5" t="s">
        <v>334</v>
      </c>
      <c r="AM5" t="s">
        <v>325</v>
      </c>
      <c r="AS5">
        <v>11</v>
      </c>
      <c r="AT5">
        <v>1</v>
      </c>
      <c r="AU5">
        <v>0</v>
      </c>
      <c r="AW5">
        <v>1</v>
      </c>
      <c r="AX5">
        <v>1</v>
      </c>
      <c r="AY5">
        <v>8</v>
      </c>
      <c r="AZ5">
        <v>10000</v>
      </c>
      <c r="BA5">
        <v>8</v>
      </c>
      <c r="BB5">
        <v>2</v>
      </c>
      <c r="BC5">
        <v>2</v>
      </c>
      <c r="BD5">
        <v>14</v>
      </c>
      <c r="BE5">
        <v>64</v>
      </c>
      <c r="BF5">
        <v>54</v>
      </c>
      <c r="BG5">
        <v>1</v>
      </c>
      <c r="BH5">
        <v>4</v>
      </c>
      <c r="BI5">
        <v>1</v>
      </c>
      <c r="BJ5">
        <v>21</v>
      </c>
      <c r="BK5">
        <v>21</v>
      </c>
      <c r="BL5">
        <v>20</v>
      </c>
      <c r="BM5">
        <v>1585</v>
      </c>
      <c r="BN5">
        <v>29.541131</v>
      </c>
      <c r="BO5">
        <v>-95.400355000000005</v>
      </c>
      <c r="BT5" t="s">
        <v>335</v>
      </c>
      <c r="CD5" t="s">
        <v>323</v>
      </c>
      <c r="CI5" t="s">
        <v>142</v>
      </c>
      <c r="CJ5" t="s">
        <v>141</v>
      </c>
      <c r="CK5" t="s">
        <v>142</v>
      </c>
      <c r="CL5">
        <v>5</v>
      </c>
      <c r="CM5">
        <v>0</v>
      </c>
      <c r="CN5" t="s">
        <v>142</v>
      </c>
      <c r="CO5" t="s">
        <v>328</v>
      </c>
      <c r="ES5">
        <v>0</v>
      </c>
      <c r="ET5">
        <v>0</v>
      </c>
      <c r="EU5">
        <v>0</v>
      </c>
      <c r="EV5">
        <v>2</v>
      </c>
      <c r="EW5">
        <v>0</v>
      </c>
      <c r="EX5">
        <v>0</v>
      </c>
      <c r="EY5">
        <v>0</v>
      </c>
      <c r="EZ5">
        <v>2010</v>
      </c>
      <c r="FA5">
        <v>2010</v>
      </c>
      <c r="FB5">
        <v>20</v>
      </c>
      <c r="FC5">
        <v>59</v>
      </c>
      <c r="FD5" t="s">
        <v>322</v>
      </c>
    </row>
    <row r="6" spans="1:160" x14ac:dyDescent="0.25">
      <c r="A6">
        <v>11489241</v>
      </c>
      <c r="B6" t="s">
        <v>141</v>
      </c>
      <c r="C6" t="s">
        <v>141</v>
      </c>
      <c r="D6" t="s">
        <v>141</v>
      </c>
      <c r="E6" t="s">
        <v>141</v>
      </c>
      <c r="F6" t="s">
        <v>141</v>
      </c>
      <c r="G6" t="s">
        <v>141</v>
      </c>
      <c r="H6" t="s">
        <v>141</v>
      </c>
      <c r="I6" s="99">
        <v>40281</v>
      </c>
      <c r="J6" s="98">
        <v>0.43541666666666662</v>
      </c>
      <c r="L6">
        <v>20</v>
      </c>
      <c r="M6">
        <v>1585</v>
      </c>
      <c r="N6" t="s">
        <v>142</v>
      </c>
      <c r="O6" t="s">
        <v>142</v>
      </c>
      <c r="P6">
        <v>29.540980000000001</v>
      </c>
      <c r="Q6">
        <v>-95.400450000000006</v>
      </c>
      <c r="R6">
        <v>15</v>
      </c>
      <c r="S6">
        <v>59</v>
      </c>
      <c r="U6">
        <v>1</v>
      </c>
      <c r="X6" t="s">
        <v>322</v>
      </c>
      <c r="Z6" t="s">
        <v>141</v>
      </c>
      <c r="AA6" t="s">
        <v>141</v>
      </c>
      <c r="AB6">
        <v>45</v>
      </c>
      <c r="AC6" t="s">
        <v>141</v>
      </c>
      <c r="AD6" t="s">
        <v>141</v>
      </c>
      <c r="AE6" t="s">
        <v>142</v>
      </c>
      <c r="AF6">
        <v>19</v>
      </c>
      <c r="AI6">
        <v>1</v>
      </c>
      <c r="AL6" t="s">
        <v>334</v>
      </c>
      <c r="AM6" t="s">
        <v>325</v>
      </c>
      <c r="AS6">
        <v>11</v>
      </c>
      <c r="AT6">
        <v>1</v>
      </c>
      <c r="AU6">
        <v>2</v>
      </c>
      <c r="AW6">
        <v>1</v>
      </c>
      <c r="AX6">
        <v>1</v>
      </c>
      <c r="AY6">
        <v>8</v>
      </c>
      <c r="AZ6">
        <v>10000</v>
      </c>
      <c r="BA6">
        <v>8</v>
      </c>
      <c r="BB6">
        <v>2</v>
      </c>
      <c r="BC6">
        <v>1</v>
      </c>
      <c r="BD6">
        <v>10</v>
      </c>
      <c r="BE6">
        <v>64</v>
      </c>
      <c r="BF6">
        <v>54</v>
      </c>
      <c r="BG6">
        <v>1</v>
      </c>
      <c r="BH6">
        <v>4</v>
      </c>
      <c r="BI6">
        <v>1</v>
      </c>
      <c r="BJ6">
        <v>21</v>
      </c>
      <c r="BK6">
        <v>21</v>
      </c>
      <c r="BL6">
        <v>20</v>
      </c>
      <c r="BM6">
        <v>1585</v>
      </c>
      <c r="BN6">
        <v>29.541127660000001</v>
      </c>
      <c r="BO6">
        <v>-95.400454940000003</v>
      </c>
      <c r="BT6" t="s">
        <v>337</v>
      </c>
      <c r="BU6">
        <v>2296</v>
      </c>
      <c r="CD6" t="s">
        <v>323</v>
      </c>
      <c r="CI6" t="s">
        <v>142</v>
      </c>
      <c r="CJ6" t="s">
        <v>141</v>
      </c>
      <c r="CK6" t="s">
        <v>142</v>
      </c>
      <c r="CL6">
        <v>1</v>
      </c>
      <c r="CM6">
        <v>0</v>
      </c>
      <c r="CN6" t="s">
        <v>142</v>
      </c>
      <c r="CO6" t="s">
        <v>326</v>
      </c>
      <c r="ES6">
        <v>1</v>
      </c>
      <c r="ET6">
        <v>4</v>
      </c>
      <c r="EU6">
        <v>1</v>
      </c>
      <c r="EV6">
        <v>0</v>
      </c>
      <c r="EW6">
        <v>0</v>
      </c>
      <c r="EX6">
        <v>6</v>
      </c>
      <c r="EY6">
        <v>0</v>
      </c>
      <c r="EZ6">
        <v>2010</v>
      </c>
      <c r="FA6">
        <v>2010</v>
      </c>
      <c r="FB6">
        <v>20</v>
      </c>
      <c r="FC6">
        <v>59</v>
      </c>
      <c r="FD6" t="s">
        <v>322</v>
      </c>
    </row>
    <row r="7" spans="1:160" x14ac:dyDescent="0.25">
      <c r="A7">
        <v>12549634</v>
      </c>
      <c r="B7" t="s">
        <v>141</v>
      </c>
      <c r="C7" t="s">
        <v>141</v>
      </c>
      <c r="D7" t="s">
        <v>141</v>
      </c>
      <c r="E7" t="s">
        <v>141</v>
      </c>
      <c r="F7" t="s">
        <v>141</v>
      </c>
      <c r="G7" t="s">
        <v>141</v>
      </c>
      <c r="H7" t="s">
        <v>141</v>
      </c>
      <c r="I7" s="99">
        <v>40916</v>
      </c>
      <c r="J7" s="98">
        <v>0.75347222222222221</v>
      </c>
      <c r="L7">
        <v>20</v>
      </c>
      <c r="M7">
        <v>1585</v>
      </c>
      <c r="N7" t="s">
        <v>142</v>
      </c>
      <c r="O7" t="s">
        <v>142</v>
      </c>
      <c r="P7">
        <v>29.541180000000001</v>
      </c>
      <c r="Q7">
        <v>-95.400130000000004</v>
      </c>
      <c r="R7">
        <v>15</v>
      </c>
      <c r="S7">
        <v>59</v>
      </c>
      <c r="U7">
        <v>1</v>
      </c>
      <c r="X7" t="s">
        <v>322</v>
      </c>
      <c r="Z7" t="s">
        <v>141</v>
      </c>
      <c r="AA7" t="s">
        <v>141</v>
      </c>
      <c r="AB7">
        <v>45</v>
      </c>
      <c r="AC7" t="s">
        <v>141</v>
      </c>
      <c r="AD7" t="s">
        <v>141</v>
      </c>
      <c r="AE7" t="s">
        <v>142</v>
      </c>
      <c r="AF7">
        <v>19</v>
      </c>
      <c r="AI7">
        <v>1</v>
      </c>
      <c r="AL7" t="s">
        <v>334</v>
      </c>
      <c r="AS7">
        <v>11</v>
      </c>
      <c r="AT7">
        <v>3</v>
      </c>
      <c r="AU7">
        <v>4</v>
      </c>
      <c r="AW7">
        <v>1</v>
      </c>
      <c r="AX7">
        <v>1</v>
      </c>
      <c r="AY7">
        <v>8</v>
      </c>
      <c r="AZ7">
        <v>10000</v>
      </c>
      <c r="BA7">
        <v>8</v>
      </c>
      <c r="BB7">
        <v>2</v>
      </c>
      <c r="BC7">
        <v>1</v>
      </c>
      <c r="BD7">
        <v>10</v>
      </c>
      <c r="BE7">
        <v>64</v>
      </c>
      <c r="BF7">
        <v>54</v>
      </c>
      <c r="BG7">
        <v>1</v>
      </c>
      <c r="BH7">
        <v>4</v>
      </c>
      <c r="BI7">
        <v>1</v>
      </c>
      <c r="BJ7">
        <v>21</v>
      </c>
      <c r="BK7">
        <v>21</v>
      </c>
      <c r="BL7">
        <v>20</v>
      </c>
      <c r="BM7">
        <v>1585</v>
      </c>
      <c r="BN7">
        <v>29.541131679999999</v>
      </c>
      <c r="BO7">
        <v>-95.400129849999999</v>
      </c>
      <c r="BT7" t="s">
        <v>337</v>
      </c>
      <c r="BU7">
        <v>2315</v>
      </c>
      <c r="CD7" t="s">
        <v>323</v>
      </c>
      <c r="CI7" t="s">
        <v>142</v>
      </c>
      <c r="CJ7" t="s">
        <v>141</v>
      </c>
      <c r="CK7" t="s">
        <v>142</v>
      </c>
      <c r="CL7">
        <v>5</v>
      </c>
      <c r="CM7">
        <v>0</v>
      </c>
      <c r="CN7" t="s">
        <v>142</v>
      </c>
      <c r="CO7" t="s">
        <v>324</v>
      </c>
      <c r="ES7">
        <v>0</v>
      </c>
      <c r="ET7">
        <v>0</v>
      </c>
      <c r="EU7">
        <v>0</v>
      </c>
      <c r="EV7">
        <v>4</v>
      </c>
      <c r="EW7">
        <v>0</v>
      </c>
      <c r="EX7">
        <v>0</v>
      </c>
      <c r="EY7">
        <v>0</v>
      </c>
      <c r="EZ7">
        <v>2012</v>
      </c>
      <c r="FA7">
        <v>2012</v>
      </c>
      <c r="FB7">
        <v>20</v>
      </c>
      <c r="FC7">
        <v>59</v>
      </c>
      <c r="FD7" t="s">
        <v>322</v>
      </c>
    </row>
    <row r="8" spans="1:160" x14ac:dyDescent="0.25">
      <c r="A8">
        <v>13466911</v>
      </c>
      <c r="B8" t="s">
        <v>141</v>
      </c>
      <c r="C8" t="s">
        <v>141</v>
      </c>
      <c r="D8" t="s">
        <v>141</v>
      </c>
      <c r="E8" t="s">
        <v>141</v>
      </c>
      <c r="F8" t="s">
        <v>141</v>
      </c>
      <c r="G8" t="s">
        <v>141</v>
      </c>
      <c r="H8" t="s">
        <v>141</v>
      </c>
      <c r="I8" s="99">
        <v>41537</v>
      </c>
      <c r="J8" s="98">
        <v>0.25347222222222221</v>
      </c>
      <c r="K8" t="s">
        <v>338</v>
      </c>
      <c r="L8">
        <v>20</v>
      </c>
      <c r="M8">
        <v>1585</v>
      </c>
      <c r="N8" t="s">
        <v>142</v>
      </c>
      <c r="O8" t="s">
        <v>142</v>
      </c>
      <c r="R8">
        <v>15</v>
      </c>
      <c r="S8">
        <v>59</v>
      </c>
      <c r="U8">
        <v>1</v>
      </c>
      <c r="V8">
        <v>2500</v>
      </c>
      <c r="X8" t="s">
        <v>339</v>
      </c>
      <c r="Y8" t="s">
        <v>143</v>
      </c>
      <c r="Z8" t="s">
        <v>141</v>
      </c>
      <c r="AA8" t="s">
        <v>141</v>
      </c>
      <c r="AB8">
        <v>45</v>
      </c>
      <c r="AC8" t="s">
        <v>141</v>
      </c>
      <c r="AD8" t="s">
        <v>141</v>
      </c>
      <c r="AE8" t="s">
        <v>142</v>
      </c>
      <c r="AF8">
        <v>19</v>
      </c>
      <c r="AI8">
        <v>1</v>
      </c>
      <c r="AL8" t="s">
        <v>334</v>
      </c>
      <c r="AS8">
        <v>2</v>
      </c>
      <c r="AT8">
        <v>6</v>
      </c>
      <c r="AU8">
        <v>4</v>
      </c>
      <c r="AW8">
        <v>1</v>
      </c>
      <c r="AX8">
        <v>2</v>
      </c>
      <c r="AY8">
        <v>8</v>
      </c>
      <c r="AZ8">
        <v>148</v>
      </c>
      <c r="BA8">
        <v>8</v>
      </c>
      <c r="BB8">
        <v>2</v>
      </c>
      <c r="BC8">
        <v>1</v>
      </c>
      <c r="BD8">
        <v>10</v>
      </c>
      <c r="BE8">
        <v>64</v>
      </c>
      <c r="BF8">
        <v>54</v>
      </c>
      <c r="BG8">
        <v>1</v>
      </c>
      <c r="BH8">
        <v>4</v>
      </c>
      <c r="BI8">
        <v>1</v>
      </c>
      <c r="BJ8">
        <v>21</v>
      </c>
      <c r="BK8">
        <v>21</v>
      </c>
      <c r="BL8">
        <v>20</v>
      </c>
      <c r="BM8">
        <v>1585</v>
      </c>
      <c r="BT8" t="s">
        <v>340</v>
      </c>
      <c r="CD8" t="s">
        <v>334</v>
      </c>
      <c r="CI8" t="s">
        <v>142</v>
      </c>
      <c r="CJ8" t="s">
        <v>141</v>
      </c>
      <c r="CK8" t="s">
        <v>142</v>
      </c>
      <c r="CL8">
        <v>5</v>
      </c>
      <c r="CM8">
        <v>0</v>
      </c>
      <c r="CN8" t="s">
        <v>141</v>
      </c>
      <c r="CO8" t="s">
        <v>329</v>
      </c>
      <c r="ES8">
        <v>0</v>
      </c>
      <c r="ET8">
        <v>0</v>
      </c>
      <c r="EU8">
        <v>0</v>
      </c>
      <c r="EV8">
        <v>2</v>
      </c>
      <c r="EW8">
        <v>0</v>
      </c>
      <c r="EX8">
        <v>0</v>
      </c>
      <c r="EY8">
        <v>0</v>
      </c>
      <c r="EZ8">
        <v>2013</v>
      </c>
      <c r="FA8">
        <v>2013</v>
      </c>
      <c r="FB8">
        <v>20</v>
      </c>
      <c r="FC8">
        <v>59</v>
      </c>
      <c r="FD8" t="s">
        <v>339</v>
      </c>
    </row>
    <row r="9" spans="1:160" x14ac:dyDescent="0.25">
      <c r="A9">
        <v>11339775</v>
      </c>
      <c r="B9" t="s">
        <v>141</v>
      </c>
      <c r="C9" t="s">
        <v>141</v>
      </c>
      <c r="D9" t="s">
        <v>141</v>
      </c>
      <c r="E9" t="s">
        <v>141</v>
      </c>
      <c r="F9" t="s">
        <v>141</v>
      </c>
      <c r="G9" t="s">
        <v>141</v>
      </c>
      <c r="H9" t="s">
        <v>141</v>
      </c>
      <c r="I9" s="99">
        <v>40257</v>
      </c>
      <c r="J9" s="98">
        <v>0.5625</v>
      </c>
      <c r="K9" t="s">
        <v>341</v>
      </c>
      <c r="L9">
        <v>20</v>
      </c>
      <c r="M9">
        <v>1585</v>
      </c>
      <c r="N9" t="s">
        <v>142</v>
      </c>
      <c r="O9" t="s">
        <v>142</v>
      </c>
      <c r="R9">
        <v>15</v>
      </c>
      <c r="S9">
        <v>59</v>
      </c>
      <c r="U9">
        <v>1</v>
      </c>
      <c r="X9" t="s">
        <v>342</v>
      </c>
      <c r="Y9" t="s">
        <v>143</v>
      </c>
      <c r="Z9" t="s">
        <v>141</v>
      </c>
      <c r="AA9" t="s">
        <v>141</v>
      </c>
      <c r="AB9">
        <v>45</v>
      </c>
      <c r="AC9" t="s">
        <v>141</v>
      </c>
      <c r="AD9" t="s">
        <v>141</v>
      </c>
      <c r="AE9" t="s">
        <v>142</v>
      </c>
      <c r="AF9">
        <v>19</v>
      </c>
      <c r="AI9">
        <v>1</v>
      </c>
      <c r="AL9" t="s">
        <v>334</v>
      </c>
      <c r="AM9" t="s">
        <v>325</v>
      </c>
      <c r="AS9">
        <v>2</v>
      </c>
      <c r="AT9">
        <v>1</v>
      </c>
      <c r="AU9">
        <v>2</v>
      </c>
      <c r="AW9">
        <v>1</v>
      </c>
      <c r="AX9">
        <v>2</v>
      </c>
      <c r="AY9">
        <v>8</v>
      </c>
      <c r="AZ9">
        <v>148</v>
      </c>
      <c r="BA9">
        <v>8</v>
      </c>
      <c r="BB9">
        <v>2</v>
      </c>
      <c r="BC9">
        <v>1</v>
      </c>
      <c r="BD9">
        <v>14</v>
      </c>
      <c r="BE9">
        <v>64</v>
      </c>
      <c r="BF9">
        <v>54</v>
      </c>
      <c r="BG9">
        <v>1</v>
      </c>
      <c r="BH9">
        <v>4</v>
      </c>
      <c r="BI9">
        <v>1</v>
      </c>
      <c r="BJ9">
        <v>21</v>
      </c>
      <c r="BK9">
        <v>21</v>
      </c>
      <c r="BL9">
        <v>20</v>
      </c>
      <c r="BM9">
        <v>1585</v>
      </c>
      <c r="BT9" t="s">
        <v>340</v>
      </c>
      <c r="CD9" t="s">
        <v>335</v>
      </c>
      <c r="CI9" t="s">
        <v>142</v>
      </c>
      <c r="CJ9" t="s">
        <v>141</v>
      </c>
      <c r="CK9" t="s">
        <v>142</v>
      </c>
      <c r="CL9">
        <v>5</v>
      </c>
      <c r="CM9">
        <v>0</v>
      </c>
      <c r="CN9" t="s">
        <v>141</v>
      </c>
      <c r="CO9" t="s">
        <v>144</v>
      </c>
      <c r="ES9">
        <v>0</v>
      </c>
      <c r="ET9">
        <v>0</v>
      </c>
      <c r="EU9">
        <v>0</v>
      </c>
      <c r="EV9">
        <v>4</v>
      </c>
      <c r="EW9">
        <v>0</v>
      </c>
      <c r="EX9">
        <v>0</v>
      </c>
      <c r="EY9">
        <v>0</v>
      </c>
      <c r="EZ9">
        <v>2010</v>
      </c>
      <c r="FA9">
        <v>2010</v>
      </c>
      <c r="FB9">
        <v>20</v>
      </c>
      <c r="FC9">
        <v>59</v>
      </c>
      <c r="FD9" t="s">
        <v>342</v>
      </c>
    </row>
    <row r="10" spans="1:160" x14ac:dyDescent="0.25">
      <c r="A10">
        <v>11852735</v>
      </c>
      <c r="B10" t="s">
        <v>141</v>
      </c>
      <c r="C10" t="s">
        <v>141</v>
      </c>
      <c r="D10" t="s">
        <v>141</v>
      </c>
      <c r="E10" t="s">
        <v>141</v>
      </c>
      <c r="F10" t="s">
        <v>141</v>
      </c>
      <c r="G10" t="s">
        <v>141</v>
      </c>
      <c r="H10" t="s">
        <v>141</v>
      </c>
      <c r="I10" s="99">
        <v>40556</v>
      </c>
      <c r="J10" s="98">
        <v>0.69791666666666663</v>
      </c>
      <c r="K10" t="s">
        <v>343</v>
      </c>
      <c r="L10">
        <v>20</v>
      </c>
      <c r="M10">
        <v>326</v>
      </c>
      <c r="N10" t="s">
        <v>141</v>
      </c>
      <c r="O10" t="s">
        <v>142</v>
      </c>
      <c r="R10">
        <v>15</v>
      </c>
      <c r="S10">
        <v>59</v>
      </c>
      <c r="U10">
        <v>1</v>
      </c>
      <c r="V10">
        <v>2300</v>
      </c>
      <c r="X10" t="s">
        <v>344</v>
      </c>
      <c r="Z10" t="s">
        <v>141</v>
      </c>
      <c r="AA10" t="s">
        <v>141</v>
      </c>
      <c r="AB10">
        <v>45</v>
      </c>
      <c r="AC10" t="s">
        <v>141</v>
      </c>
      <c r="AD10" t="s">
        <v>141</v>
      </c>
      <c r="AE10" t="s">
        <v>141</v>
      </c>
      <c r="AF10">
        <v>19</v>
      </c>
      <c r="AI10">
        <v>1</v>
      </c>
      <c r="AL10" t="s">
        <v>334</v>
      </c>
      <c r="AM10" t="s">
        <v>325</v>
      </c>
      <c r="AS10">
        <v>11</v>
      </c>
      <c r="AT10">
        <v>1</v>
      </c>
      <c r="AU10">
        <v>0</v>
      </c>
      <c r="AW10">
        <v>1</v>
      </c>
      <c r="AX10">
        <v>1</v>
      </c>
      <c r="AY10">
        <v>11</v>
      </c>
      <c r="AZ10">
        <v>1917</v>
      </c>
      <c r="BA10">
        <v>8</v>
      </c>
      <c r="BB10">
        <v>7</v>
      </c>
      <c r="BC10">
        <v>4</v>
      </c>
      <c r="BD10">
        <v>1</v>
      </c>
      <c r="BE10">
        <v>32</v>
      </c>
      <c r="BF10">
        <v>54</v>
      </c>
      <c r="BG10">
        <v>1</v>
      </c>
      <c r="BH10">
        <v>4</v>
      </c>
      <c r="BI10">
        <v>2</v>
      </c>
      <c r="BJ10">
        <v>21</v>
      </c>
      <c r="BK10">
        <v>21</v>
      </c>
      <c r="BL10">
        <v>20</v>
      </c>
      <c r="BM10">
        <v>1585</v>
      </c>
      <c r="BN10">
        <v>29.541016880000001</v>
      </c>
      <c r="BO10">
        <v>-95.404487599999996</v>
      </c>
      <c r="BT10" t="s">
        <v>345</v>
      </c>
      <c r="BU10">
        <v>2161</v>
      </c>
      <c r="CD10" t="s">
        <v>321</v>
      </c>
      <c r="CI10" t="s">
        <v>142</v>
      </c>
      <c r="CJ10" t="s">
        <v>141</v>
      </c>
      <c r="CK10" t="s">
        <v>142</v>
      </c>
      <c r="CL10">
        <v>2</v>
      </c>
      <c r="CM10">
        <v>0</v>
      </c>
      <c r="CN10" t="s">
        <v>142</v>
      </c>
      <c r="CO10" t="s">
        <v>328</v>
      </c>
      <c r="ES10">
        <v>0</v>
      </c>
      <c r="ET10">
        <v>1</v>
      </c>
      <c r="EU10">
        <v>0</v>
      </c>
      <c r="EV10">
        <v>0</v>
      </c>
      <c r="EW10">
        <v>0</v>
      </c>
      <c r="EX10">
        <v>1</v>
      </c>
      <c r="EY10">
        <v>0</v>
      </c>
      <c r="EZ10">
        <v>2011</v>
      </c>
      <c r="FA10">
        <v>2011</v>
      </c>
      <c r="FB10">
        <v>20</v>
      </c>
      <c r="FC10">
        <v>59</v>
      </c>
      <c r="FD10" t="s">
        <v>344</v>
      </c>
    </row>
    <row r="11" spans="1:160" x14ac:dyDescent="0.25">
      <c r="A11">
        <v>11882199</v>
      </c>
      <c r="B11" t="s">
        <v>141</v>
      </c>
      <c r="C11" t="s">
        <v>141</v>
      </c>
      <c r="D11" t="s">
        <v>141</v>
      </c>
      <c r="E11" t="s">
        <v>141</v>
      </c>
      <c r="F11" t="s">
        <v>141</v>
      </c>
      <c r="G11" t="s">
        <v>141</v>
      </c>
      <c r="H11" t="s">
        <v>141</v>
      </c>
      <c r="I11" s="99">
        <v>40555</v>
      </c>
      <c r="J11" s="98">
        <v>0.57291666666666663</v>
      </c>
      <c r="L11">
        <v>20</v>
      </c>
      <c r="M11">
        <v>1585</v>
      </c>
      <c r="N11" t="s">
        <v>142</v>
      </c>
      <c r="O11" t="s">
        <v>142</v>
      </c>
      <c r="P11">
        <v>29.541180000000001</v>
      </c>
      <c r="Q11">
        <v>-95.394980000000004</v>
      </c>
      <c r="R11">
        <v>15</v>
      </c>
      <c r="S11">
        <v>59</v>
      </c>
      <c r="U11">
        <v>1</v>
      </c>
      <c r="X11" t="s">
        <v>322</v>
      </c>
      <c r="Z11" t="s">
        <v>141</v>
      </c>
      <c r="AA11" t="s">
        <v>141</v>
      </c>
      <c r="AB11">
        <v>45</v>
      </c>
      <c r="AC11" t="s">
        <v>141</v>
      </c>
      <c r="AD11" t="s">
        <v>141</v>
      </c>
      <c r="AE11" t="s">
        <v>142</v>
      </c>
      <c r="AF11">
        <v>19</v>
      </c>
      <c r="AI11">
        <v>1</v>
      </c>
      <c r="AL11" t="s">
        <v>334</v>
      </c>
      <c r="AM11" t="s">
        <v>325</v>
      </c>
      <c r="AS11">
        <v>11</v>
      </c>
      <c r="AT11">
        <v>1</v>
      </c>
      <c r="AU11">
        <v>4</v>
      </c>
      <c r="AW11">
        <v>1</v>
      </c>
      <c r="AX11">
        <v>1</v>
      </c>
      <c r="AY11">
        <v>8</v>
      </c>
      <c r="AZ11">
        <v>10000</v>
      </c>
      <c r="BA11">
        <v>8</v>
      </c>
      <c r="BB11">
        <v>2</v>
      </c>
      <c r="BC11">
        <v>1</v>
      </c>
      <c r="BD11">
        <v>10</v>
      </c>
      <c r="BE11">
        <v>64</v>
      </c>
      <c r="BF11">
        <v>54</v>
      </c>
      <c r="BG11">
        <v>1</v>
      </c>
      <c r="BH11">
        <v>4</v>
      </c>
      <c r="BI11">
        <v>1</v>
      </c>
      <c r="BJ11">
        <v>21</v>
      </c>
      <c r="BK11">
        <v>21</v>
      </c>
      <c r="BL11">
        <v>20</v>
      </c>
      <c r="BM11">
        <v>1585</v>
      </c>
      <c r="BN11">
        <v>29.541246309999998</v>
      </c>
      <c r="BO11">
        <v>-95.394981419999993</v>
      </c>
      <c r="BT11" t="s">
        <v>337</v>
      </c>
      <c r="BU11">
        <v>2640</v>
      </c>
      <c r="CD11" t="s">
        <v>323</v>
      </c>
      <c r="CI11" t="s">
        <v>142</v>
      </c>
      <c r="CJ11" t="s">
        <v>141</v>
      </c>
      <c r="CK11" t="s">
        <v>142</v>
      </c>
      <c r="CL11">
        <v>1</v>
      </c>
      <c r="CM11">
        <v>0</v>
      </c>
      <c r="CN11" t="s">
        <v>142</v>
      </c>
      <c r="CO11" t="s">
        <v>327</v>
      </c>
      <c r="ES11">
        <v>1</v>
      </c>
      <c r="ET11">
        <v>0</v>
      </c>
      <c r="EU11">
        <v>0</v>
      </c>
      <c r="EV11">
        <v>2</v>
      </c>
      <c r="EW11">
        <v>0</v>
      </c>
      <c r="EX11">
        <v>1</v>
      </c>
      <c r="EY11">
        <v>0</v>
      </c>
      <c r="EZ11">
        <v>2011</v>
      </c>
      <c r="FA11">
        <v>2011</v>
      </c>
      <c r="FB11">
        <v>20</v>
      </c>
      <c r="FC11">
        <v>59</v>
      </c>
      <c r="FD11" t="s">
        <v>322</v>
      </c>
    </row>
    <row r="12" spans="1:160" x14ac:dyDescent="0.25">
      <c r="A12">
        <v>12421227</v>
      </c>
      <c r="B12" t="s">
        <v>141</v>
      </c>
      <c r="C12" t="s">
        <v>141</v>
      </c>
      <c r="D12" t="s">
        <v>141</v>
      </c>
      <c r="E12" t="s">
        <v>141</v>
      </c>
      <c r="F12" t="s">
        <v>141</v>
      </c>
      <c r="G12" t="s">
        <v>141</v>
      </c>
      <c r="H12" t="s">
        <v>141</v>
      </c>
      <c r="I12" s="99">
        <v>40879</v>
      </c>
      <c r="J12" s="98">
        <v>0.68263888888888891</v>
      </c>
      <c r="K12" t="s">
        <v>346</v>
      </c>
      <c r="L12">
        <v>20</v>
      </c>
      <c r="M12">
        <v>1585</v>
      </c>
      <c r="N12" t="s">
        <v>142</v>
      </c>
      <c r="O12" t="s">
        <v>142</v>
      </c>
      <c r="R12">
        <v>15</v>
      </c>
      <c r="S12">
        <v>59</v>
      </c>
      <c r="U12">
        <v>1</v>
      </c>
      <c r="V12">
        <v>11400</v>
      </c>
      <c r="X12" t="s">
        <v>344</v>
      </c>
      <c r="Z12" t="s">
        <v>141</v>
      </c>
      <c r="AA12" t="s">
        <v>141</v>
      </c>
      <c r="AB12">
        <v>0</v>
      </c>
      <c r="AC12" t="s">
        <v>141</v>
      </c>
      <c r="AD12" t="s">
        <v>141</v>
      </c>
      <c r="AE12" t="s">
        <v>142</v>
      </c>
      <c r="AF12">
        <v>19</v>
      </c>
      <c r="AI12">
        <v>1</v>
      </c>
      <c r="AL12" t="s">
        <v>334</v>
      </c>
      <c r="AM12" t="s">
        <v>325</v>
      </c>
      <c r="AS12">
        <v>11</v>
      </c>
      <c r="AT12">
        <v>1</v>
      </c>
      <c r="AU12">
        <v>4</v>
      </c>
      <c r="AW12">
        <v>1</v>
      </c>
      <c r="AX12">
        <v>1</v>
      </c>
      <c r="AY12">
        <v>8</v>
      </c>
      <c r="AZ12">
        <v>1917</v>
      </c>
      <c r="BA12">
        <v>8</v>
      </c>
      <c r="BB12">
        <v>2</v>
      </c>
      <c r="BC12">
        <v>1</v>
      </c>
      <c r="BD12">
        <v>10</v>
      </c>
      <c r="BE12">
        <v>64</v>
      </c>
      <c r="BF12">
        <v>54</v>
      </c>
      <c r="BG12">
        <v>1</v>
      </c>
      <c r="BH12">
        <v>4</v>
      </c>
      <c r="BI12">
        <v>1</v>
      </c>
      <c r="BJ12">
        <v>21</v>
      </c>
      <c r="BK12">
        <v>21</v>
      </c>
      <c r="BL12">
        <v>20</v>
      </c>
      <c r="BM12">
        <v>1585</v>
      </c>
      <c r="BT12" t="s">
        <v>340</v>
      </c>
      <c r="CD12" t="s">
        <v>335</v>
      </c>
      <c r="CI12" t="s">
        <v>142</v>
      </c>
      <c r="CJ12" t="s">
        <v>141</v>
      </c>
      <c r="CK12" t="s">
        <v>142</v>
      </c>
      <c r="CL12">
        <v>5</v>
      </c>
      <c r="CM12">
        <v>0</v>
      </c>
      <c r="CN12" t="s">
        <v>141</v>
      </c>
      <c r="CO12" t="s">
        <v>329</v>
      </c>
      <c r="ES12">
        <v>0</v>
      </c>
      <c r="ET12">
        <v>0</v>
      </c>
      <c r="EU12">
        <v>0</v>
      </c>
      <c r="EV12">
        <v>2</v>
      </c>
      <c r="EW12">
        <v>0</v>
      </c>
      <c r="EX12">
        <v>0</v>
      </c>
      <c r="EY12">
        <v>0</v>
      </c>
      <c r="EZ12">
        <v>2011</v>
      </c>
      <c r="FA12">
        <v>2011</v>
      </c>
      <c r="FB12">
        <v>20</v>
      </c>
      <c r="FC12">
        <v>59</v>
      </c>
      <c r="FD12" t="s">
        <v>344</v>
      </c>
    </row>
    <row r="13" spans="1:160" x14ac:dyDescent="0.25">
      <c r="A13">
        <v>11862397</v>
      </c>
      <c r="B13" t="s">
        <v>141</v>
      </c>
      <c r="C13" t="s">
        <v>141</v>
      </c>
      <c r="D13" t="s">
        <v>141</v>
      </c>
      <c r="E13" t="s">
        <v>141</v>
      </c>
      <c r="F13" t="s">
        <v>141</v>
      </c>
      <c r="G13" t="s">
        <v>141</v>
      </c>
      <c r="H13" t="s">
        <v>141</v>
      </c>
      <c r="I13" s="99">
        <v>40535</v>
      </c>
      <c r="J13" s="98">
        <v>0.7715277777777777</v>
      </c>
      <c r="L13">
        <v>20</v>
      </c>
      <c r="M13">
        <v>1585</v>
      </c>
      <c r="N13" t="s">
        <v>142</v>
      </c>
      <c r="O13" t="s">
        <v>142</v>
      </c>
      <c r="P13">
        <v>29.5413</v>
      </c>
      <c r="Q13">
        <v>-95.400319999999994</v>
      </c>
      <c r="R13">
        <v>15</v>
      </c>
      <c r="S13">
        <v>59</v>
      </c>
      <c r="U13">
        <v>1</v>
      </c>
      <c r="X13" t="s">
        <v>322</v>
      </c>
      <c r="Z13" t="s">
        <v>141</v>
      </c>
      <c r="AA13" t="s">
        <v>141</v>
      </c>
      <c r="AB13">
        <v>40</v>
      </c>
      <c r="AC13" t="s">
        <v>141</v>
      </c>
      <c r="AD13" t="s">
        <v>141</v>
      </c>
      <c r="AE13" t="s">
        <v>142</v>
      </c>
      <c r="AF13">
        <v>19</v>
      </c>
      <c r="AI13">
        <v>1</v>
      </c>
      <c r="AL13" t="s">
        <v>334</v>
      </c>
      <c r="AM13" t="s">
        <v>325</v>
      </c>
      <c r="AS13">
        <v>11</v>
      </c>
      <c r="AT13">
        <v>3</v>
      </c>
      <c r="AU13">
        <v>4</v>
      </c>
      <c r="AW13">
        <v>1</v>
      </c>
      <c r="AX13">
        <v>1</v>
      </c>
      <c r="AY13">
        <v>11</v>
      </c>
      <c r="AZ13">
        <v>10000</v>
      </c>
      <c r="BA13">
        <v>8</v>
      </c>
      <c r="BB13">
        <v>2</v>
      </c>
      <c r="BC13">
        <v>1</v>
      </c>
      <c r="BD13">
        <v>34</v>
      </c>
      <c r="BE13">
        <v>64</v>
      </c>
      <c r="BF13">
        <v>54</v>
      </c>
      <c r="BG13">
        <v>1</v>
      </c>
      <c r="BH13">
        <v>4</v>
      </c>
      <c r="BI13">
        <v>1</v>
      </c>
      <c r="BJ13">
        <v>21</v>
      </c>
      <c r="BK13">
        <v>21</v>
      </c>
      <c r="BL13">
        <v>20</v>
      </c>
      <c r="BM13">
        <v>326</v>
      </c>
      <c r="BN13">
        <v>29.541298319999999</v>
      </c>
      <c r="BO13">
        <v>-95.400361739999994</v>
      </c>
      <c r="BT13" t="s">
        <v>335</v>
      </c>
      <c r="CD13" t="s">
        <v>323</v>
      </c>
      <c r="CI13" t="s">
        <v>142</v>
      </c>
      <c r="CJ13" t="s">
        <v>141</v>
      </c>
      <c r="CK13" t="s">
        <v>141</v>
      </c>
      <c r="CL13">
        <v>5</v>
      </c>
      <c r="CM13">
        <v>7</v>
      </c>
      <c r="CN13" t="s">
        <v>142</v>
      </c>
      <c r="CO13" t="s">
        <v>328</v>
      </c>
      <c r="ES13">
        <v>0</v>
      </c>
      <c r="ET13">
        <v>0</v>
      </c>
      <c r="EU13">
        <v>0</v>
      </c>
      <c r="EV13">
        <v>6</v>
      </c>
      <c r="EW13">
        <v>0</v>
      </c>
      <c r="EX13">
        <v>0</v>
      </c>
      <c r="EY13">
        <v>0</v>
      </c>
      <c r="EZ13">
        <v>2010</v>
      </c>
      <c r="FA13">
        <v>2010</v>
      </c>
      <c r="FB13">
        <v>20</v>
      </c>
      <c r="FC13">
        <v>59</v>
      </c>
      <c r="FD13" t="s">
        <v>322</v>
      </c>
    </row>
    <row r="14" spans="1:160" x14ac:dyDescent="0.25">
      <c r="A14">
        <v>12404210</v>
      </c>
      <c r="B14" t="s">
        <v>141</v>
      </c>
      <c r="C14" t="s">
        <v>141</v>
      </c>
      <c r="D14" t="s">
        <v>141</v>
      </c>
      <c r="E14" t="s">
        <v>141</v>
      </c>
      <c r="F14" t="s">
        <v>141</v>
      </c>
      <c r="G14" t="s">
        <v>141</v>
      </c>
      <c r="H14" t="s">
        <v>141</v>
      </c>
      <c r="I14" s="99">
        <v>40852</v>
      </c>
      <c r="J14" s="98">
        <v>0.69236111111111109</v>
      </c>
      <c r="L14">
        <v>20</v>
      </c>
      <c r="M14">
        <v>1585</v>
      </c>
      <c r="N14" t="s">
        <v>142</v>
      </c>
      <c r="O14" t="s">
        <v>142</v>
      </c>
      <c r="P14">
        <v>29.54073</v>
      </c>
      <c r="Q14">
        <v>-95.400310000000005</v>
      </c>
      <c r="R14">
        <v>15</v>
      </c>
      <c r="S14">
        <v>59</v>
      </c>
      <c r="U14">
        <v>1</v>
      </c>
      <c r="X14" t="s">
        <v>322</v>
      </c>
      <c r="Z14" t="s">
        <v>141</v>
      </c>
      <c r="AA14" t="s">
        <v>141</v>
      </c>
      <c r="AB14">
        <v>40</v>
      </c>
      <c r="AC14" t="s">
        <v>141</v>
      </c>
      <c r="AD14" t="s">
        <v>141</v>
      </c>
      <c r="AE14" t="s">
        <v>142</v>
      </c>
      <c r="AF14">
        <v>19</v>
      </c>
      <c r="AI14">
        <v>1</v>
      </c>
      <c r="AL14" t="s">
        <v>334</v>
      </c>
      <c r="AM14" t="s">
        <v>325</v>
      </c>
      <c r="AS14">
        <v>12</v>
      </c>
      <c r="AT14">
        <v>1</v>
      </c>
      <c r="AU14">
        <v>4</v>
      </c>
      <c r="AW14">
        <v>1</v>
      </c>
      <c r="AX14">
        <v>1</v>
      </c>
      <c r="AY14">
        <v>8</v>
      </c>
      <c r="AZ14">
        <v>10000</v>
      </c>
      <c r="BA14">
        <v>8</v>
      </c>
      <c r="BB14">
        <v>2</v>
      </c>
      <c r="BC14">
        <v>1</v>
      </c>
      <c r="BD14">
        <v>10</v>
      </c>
      <c r="BE14">
        <v>64</v>
      </c>
      <c r="BF14">
        <v>54</v>
      </c>
      <c r="BG14">
        <v>1</v>
      </c>
      <c r="BH14">
        <v>4</v>
      </c>
      <c r="BI14">
        <v>1</v>
      </c>
      <c r="BJ14">
        <v>21</v>
      </c>
      <c r="BK14">
        <v>21</v>
      </c>
      <c r="BL14">
        <v>20</v>
      </c>
      <c r="BM14">
        <v>1585</v>
      </c>
      <c r="BN14">
        <v>29.541131</v>
      </c>
      <c r="BO14">
        <v>-95.400355000000005</v>
      </c>
      <c r="BT14" t="s">
        <v>335</v>
      </c>
      <c r="CD14" t="s">
        <v>323</v>
      </c>
      <c r="CI14" t="s">
        <v>142</v>
      </c>
      <c r="CJ14" t="s">
        <v>141</v>
      </c>
      <c r="CK14" t="s">
        <v>142</v>
      </c>
      <c r="CL14">
        <v>5</v>
      </c>
      <c r="CM14">
        <v>0</v>
      </c>
      <c r="CN14" t="s">
        <v>142</v>
      </c>
      <c r="CO14" t="s">
        <v>144</v>
      </c>
      <c r="ES14">
        <v>0</v>
      </c>
      <c r="ET14">
        <v>0</v>
      </c>
      <c r="EU14">
        <v>0</v>
      </c>
      <c r="EV14">
        <v>2</v>
      </c>
      <c r="EW14">
        <v>0</v>
      </c>
      <c r="EX14">
        <v>0</v>
      </c>
      <c r="EY14">
        <v>0</v>
      </c>
      <c r="EZ14">
        <v>2011</v>
      </c>
      <c r="FA14">
        <v>2011</v>
      </c>
      <c r="FB14">
        <v>20</v>
      </c>
      <c r="FC14">
        <v>59</v>
      </c>
      <c r="FD14" t="s">
        <v>322</v>
      </c>
    </row>
    <row r="15" spans="1:160" x14ac:dyDescent="0.25">
      <c r="A15">
        <v>13362001</v>
      </c>
      <c r="B15" t="s">
        <v>141</v>
      </c>
      <c r="C15" t="s">
        <v>141</v>
      </c>
      <c r="D15" t="s">
        <v>141</v>
      </c>
      <c r="E15" t="s">
        <v>141</v>
      </c>
      <c r="F15" t="s">
        <v>141</v>
      </c>
      <c r="G15" t="s">
        <v>141</v>
      </c>
      <c r="H15" t="s">
        <v>141</v>
      </c>
      <c r="I15" s="99">
        <v>41457</v>
      </c>
      <c r="J15" s="98">
        <v>0.89166666666666661</v>
      </c>
      <c r="L15">
        <v>20</v>
      </c>
      <c r="M15">
        <v>1585</v>
      </c>
      <c r="N15" t="s">
        <v>142</v>
      </c>
      <c r="O15" t="s">
        <v>142</v>
      </c>
      <c r="P15">
        <v>29.54101</v>
      </c>
      <c r="Q15">
        <v>-95.402630000000002</v>
      </c>
      <c r="R15">
        <v>15</v>
      </c>
      <c r="S15">
        <v>59</v>
      </c>
      <c r="U15">
        <v>1</v>
      </c>
      <c r="X15" t="s">
        <v>322</v>
      </c>
      <c r="Z15" t="s">
        <v>141</v>
      </c>
      <c r="AA15" t="s">
        <v>141</v>
      </c>
      <c r="AB15">
        <v>45</v>
      </c>
      <c r="AC15" t="s">
        <v>141</v>
      </c>
      <c r="AD15" t="s">
        <v>141</v>
      </c>
      <c r="AE15" t="s">
        <v>141</v>
      </c>
      <c r="AF15">
        <v>19</v>
      </c>
      <c r="AL15" t="s">
        <v>334</v>
      </c>
      <c r="AM15" t="s">
        <v>325</v>
      </c>
      <c r="AS15">
        <v>11</v>
      </c>
      <c r="AT15">
        <v>3</v>
      </c>
      <c r="AU15">
        <v>0</v>
      </c>
      <c r="AW15">
        <v>1</v>
      </c>
      <c r="AX15">
        <v>1</v>
      </c>
      <c r="AY15">
        <v>20</v>
      </c>
      <c r="AZ15">
        <v>10000</v>
      </c>
      <c r="BA15">
        <v>8</v>
      </c>
      <c r="BB15">
        <v>6</v>
      </c>
      <c r="BC15">
        <v>4</v>
      </c>
      <c r="BD15">
        <v>1</v>
      </c>
      <c r="BE15">
        <v>64</v>
      </c>
      <c r="BF15">
        <v>54</v>
      </c>
      <c r="BG15">
        <v>1</v>
      </c>
      <c r="BH15">
        <v>4</v>
      </c>
      <c r="BI15">
        <v>1</v>
      </c>
      <c r="BJ15">
        <v>21</v>
      </c>
      <c r="BK15">
        <v>21</v>
      </c>
      <c r="BL15">
        <v>20</v>
      </c>
      <c r="BM15">
        <v>1585</v>
      </c>
      <c r="BN15">
        <v>29.541054840000001</v>
      </c>
      <c r="BO15">
        <v>-95.402631499999998</v>
      </c>
      <c r="BT15" t="s">
        <v>337</v>
      </c>
      <c r="BU15">
        <v>2223</v>
      </c>
      <c r="CD15" t="s">
        <v>321</v>
      </c>
      <c r="CI15" t="s">
        <v>142</v>
      </c>
      <c r="CJ15" t="s">
        <v>141</v>
      </c>
      <c r="CK15" t="s">
        <v>142</v>
      </c>
      <c r="CL15">
        <v>5</v>
      </c>
      <c r="CM15">
        <v>0</v>
      </c>
      <c r="CN15" t="s">
        <v>142</v>
      </c>
      <c r="CO15" t="s">
        <v>326</v>
      </c>
      <c r="ES15">
        <v>0</v>
      </c>
      <c r="ET15">
        <v>0</v>
      </c>
      <c r="EU15">
        <v>0</v>
      </c>
      <c r="EV15">
        <v>5</v>
      </c>
      <c r="EW15">
        <v>0</v>
      </c>
      <c r="EX15">
        <v>0</v>
      </c>
      <c r="EY15">
        <v>0</v>
      </c>
      <c r="EZ15">
        <v>2013</v>
      </c>
      <c r="FA15">
        <v>2013</v>
      </c>
      <c r="FB15">
        <v>20</v>
      </c>
      <c r="FC15">
        <v>59</v>
      </c>
      <c r="FD15" t="s">
        <v>322</v>
      </c>
    </row>
    <row r="16" spans="1:160" x14ac:dyDescent="0.25">
      <c r="A16">
        <v>12382227</v>
      </c>
      <c r="B16" t="s">
        <v>141</v>
      </c>
      <c r="C16" t="s">
        <v>142</v>
      </c>
      <c r="D16" t="s">
        <v>141</v>
      </c>
      <c r="E16" t="s">
        <v>141</v>
      </c>
      <c r="F16" t="s">
        <v>141</v>
      </c>
      <c r="G16" t="s">
        <v>141</v>
      </c>
      <c r="H16" t="s">
        <v>141</v>
      </c>
      <c r="I16" s="99">
        <v>40866</v>
      </c>
      <c r="J16" s="98">
        <v>0.27777777777777779</v>
      </c>
      <c r="K16" t="s">
        <v>347</v>
      </c>
      <c r="L16">
        <v>20</v>
      </c>
      <c r="M16">
        <v>326</v>
      </c>
      <c r="N16" t="s">
        <v>141</v>
      </c>
      <c r="O16" t="s">
        <v>142</v>
      </c>
      <c r="P16">
        <v>29.540900000000001</v>
      </c>
      <c r="Q16">
        <v>-95.408699999999996</v>
      </c>
      <c r="R16">
        <v>15</v>
      </c>
      <c r="S16">
        <v>59</v>
      </c>
      <c r="U16">
        <v>1</v>
      </c>
      <c r="V16">
        <v>12200</v>
      </c>
      <c r="X16" t="s">
        <v>344</v>
      </c>
      <c r="Z16" t="s">
        <v>141</v>
      </c>
      <c r="AA16" t="s">
        <v>141</v>
      </c>
      <c r="AB16">
        <v>40</v>
      </c>
      <c r="AC16" t="s">
        <v>141</v>
      </c>
      <c r="AD16" t="s">
        <v>141</v>
      </c>
      <c r="AE16" t="s">
        <v>141</v>
      </c>
      <c r="AF16">
        <v>19</v>
      </c>
      <c r="AI16">
        <v>1</v>
      </c>
      <c r="AL16" t="s">
        <v>334</v>
      </c>
      <c r="AM16" t="s">
        <v>325</v>
      </c>
      <c r="AS16">
        <v>12</v>
      </c>
      <c r="AT16">
        <v>1</v>
      </c>
      <c r="AU16">
        <v>0</v>
      </c>
      <c r="AW16">
        <v>1</v>
      </c>
      <c r="AX16">
        <v>1</v>
      </c>
      <c r="AY16">
        <v>20</v>
      </c>
      <c r="AZ16">
        <v>1917</v>
      </c>
      <c r="BA16">
        <v>8</v>
      </c>
      <c r="BB16">
        <v>7</v>
      </c>
      <c r="BC16">
        <v>4</v>
      </c>
      <c r="BD16">
        <v>1</v>
      </c>
      <c r="BE16">
        <v>22</v>
      </c>
      <c r="BF16">
        <v>54</v>
      </c>
      <c r="BG16">
        <v>1</v>
      </c>
      <c r="BH16">
        <v>4</v>
      </c>
      <c r="BI16">
        <v>2</v>
      </c>
      <c r="BJ16">
        <v>21</v>
      </c>
      <c r="BK16">
        <v>21</v>
      </c>
      <c r="BL16">
        <v>20</v>
      </c>
      <c r="BM16">
        <v>1585</v>
      </c>
      <c r="BN16">
        <v>29.540917969999999</v>
      </c>
      <c r="BO16">
        <v>-95.408700350000004</v>
      </c>
      <c r="BT16" t="s">
        <v>345</v>
      </c>
      <c r="BU16">
        <v>2020</v>
      </c>
      <c r="CD16" t="s">
        <v>321</v>
      </c>
      <c r="CI16" t="s">
        <v>142</v>
      </c>
      <c r="CJ16" t="s">
        <v>141</v>
      </c>
      <c r="CK16" t="s">
        <v>142</v>
      </c>
      <c r="CL16">
        <v>5</v>
      </c>
      <c r="CM16">
        <v>0</v>
      </c>
      <c r="CN16" t="s">
        <v>142</v>
      </c>
      <c r="CO16" t="s">
        <v>144</v>
      </c>
      <c r="ES16">
        <v>0</v>
      </c>
      <c r="ET16">
        <v>0</v>
      </c>
      <c r="EU16">
        <v>0</v>
      </c>
      <c r="EV16">
        <v>1</v>
      </c>
      <c r="EW16">
        <v>0</v>
      </c>
      <c r="EX16">
        <v>0</v>
      </c>
      <c r="EY16">
        <v>0</v>
      </c>
      <c r="EZ16">
        <v>2011</v>
      </c>
      <c r="FA16">
        <v>2011</v>
      </c>
      <c r="FB16">
        <v>20</v>
      </c>
      <c r="FC16">
        <v>59</v>
      </c>
      <c r="FD16" t="s">
        <v>344</v>
      </c>
    </row>
    <row r="17" spans="1:160" x14ac:dyDescent="0.25">
      <c r="A17">
        <v>12936234</v>
      </c>
      <c r="B17" t="s">
        <v>141</v>
      </c>
      <c r="C17" t="s">
        <v>141</v>
      </c>
      <c r="D17" t="s">
        <v>141</v>
      </c>
      <c r="E17" t="s">
        <v>141</v>
      </c>
      <c r="F17" t="s">
        <v>141</v>
      </c>
      <c r="G17" t="s">
        <v>141</v>
      </c>
      <c r="H17" t="s">
        <v>141</v>
      </c>
      <c r="I17" s="99">
        <v>41171</v>
      </c>
      <c r="J17" s="98">
        <v>0.66319444444444442</v>
      </c>
      <c r="L17">
        <v>20</v>
      </c>
      <c r="M17">
        <v>1585</v>
      </c>
      <c r="N17" t="s">
        <v>142</v>
      </c>
      <c r="O17" t="s">
        <v>142</v>
      </c>
      <c r="P17">
        <v>29.541029999999999</v>
      </c>
      <c r="Q17">
        <v>-95.400409999999994</v>
      </c>
      <c r="R17">
        <v>15</v>
      </c>
      <c r="S17">
        <v>59</v>
      </c>
      <c r="U17">
        <v>1</v>
      </c>
      <c r="X17" t="s">
        <v>322</v>
      </c>
      <c r="Z17" t="s">
        <v>141</v>
      </c>
      <c r="AA17" t="s">
        <v>141</v>
      </c>
      <c r="AB17">
        <v>45</v>
      </c>
      <c r="AC17" t="s">
        <v>141</v>
      </c>
      <c r="AD17" t="s">
        <v>141</v>
      </c>
      <c r="AE17" t="s">
        <v>142</v>
      </c>
      <c r="AF17">
        <v>19</v>
      </c>
      <c r="AI17">
        <v>1</v>
      </c>
      <c r="AL17" t="s">
        <v>334</v>
      </c>
      <c r="AM17" t="s">
        <v>325</v>
      </c>
      <c r="AS17">
        <v>11</v>
      </c>
      <c r="AT17">
        <v>1</v>
      </c>
      <c r="AU17">
        <v>4</v>
      </c>
      <c r="AW17">
        <v>1</v>
      </c>
      <c r="AX17">
        <v>1</v>
      </c>
      <c r="AY17">
        <v>8</v>
      </c>
      <c r="AZ17">
        <v>10000</v>
      </c>
      <c r="BA17">
        <v>8</v>
      </c>
      <c r="BB17">
        <v>2</v>
      </c>
      <c r="BC17">
        <v>1</v>
      </c>
      <c r="BD17">
        <v>10</v>
      </c>
      <c r="BE17">
        <v>64</v>
      </c>
      <c r="BF17">
        <v>54</v>
      </c>
      <c r="BG17">
        <v>1</v>
      </c>
      <c r="BH17">
        <v>4</v>
      </c>
      <c r="BI17">
        <v>1</v>
      </c>
      <c r="BJ17">
        <v>21</v>
      </c>
      <c r="BK17">
        <v>21</v>
      </c>
      <c r="BL17">
        <v>20</v>
      </c>
      <c r="BM17">
        <v>1585</v>
      </c>
      <c r="BN17">
        <v>29.541129049999999</v>
      </c>
      <c r="BO17">
        <v>-95.400413310000005</v>
      </c>
      <c r="BT17" t="s">
        <v>337</v>
      </c>
      <c r="BU17">
        <v>2297</v>
      </c>
      <c r="CD17" t="s">
        <v>323</v>
      </c>
      <c r="CI17" t="s">
        <v>142</v>
      </c>
      <c r="CJ17" t="s">
        <v>141</v>
      </c>
      <c r="CK17" t="s">
        <v>142</v>
      </c>
      <c r="CL17">
        <v>3</v>
      </c>
      <c r="CM17">
        <v>0</v>
      </c>
      <c r="CN17" t="s">
        <v>142</v>
      </c>
      <c r="CO17" t="s">
        <v>327</v>
      </c>
      <c r="ES17">
        <v>0</v>
      </c>
      <c r="ET17">
        <v>0</v>
      </c>
      <c r="EU17">
        <v>1</v>
      </c>
      <c r="EV17">
        <v>3</v>
      </c>
      <c r="EW17">
        <v>0</v>
      </c>
      <c r="EX17">
        <v>1</v>
      </c>
      <c r="EY17">
        <v>0</v>
      </c>
      <c r="EZ17">
        <v>2012</v>
      </c>
      <c r="FA17">
        <v>2012</v>
      </c>
      <c r="FB17">
        <v>20</v>
      </c>
      <c r="FC17">
        <v>59</v>
      </c>
      <c r="FD17" t="s">
        <v>322</v>
      </c>
    </row>
    <row r="18" spans="1:160" x14ac:dyDescent="0.25">
      <c r="A18">
        <v>12243191</v>
      </c>
      <c r="B18" t="s">
        <v>141</v>
      </c>
      <c r="C18" t="s">
        <v>141</v>
      </c>
      <c r="D18" t="s">
        <v>141</v>
      </c>
      <c r="E18" t="s">
        <v>141</v>
      </c>
      <c r="F18" t="s">
        <v>141</v>
      </c>
      <c r="G18" t="s">
        <v>141</v>
      </c>
      <c r="H18" t="s">
        <v>141</v>
      </c>
      <c r="I18" s="99">
        <v>40786</v>
      </c>
      <c r="J18" s="98">
        <v>0.67013888888888884</v>
      </c>
      <c r="K18" t="s">
        <v>348</v>
      </c>
      <c r="L18">
        <v>20</v>
      </c>
      <c r="M18">
        <v>326</v>
      </c>
      <c r="N18" t="s">
        <v>141</v>
      </c>
      <c r="O18" t="s">
        <v>142</v>
      </c>
      <c r="R18">
        <v>15</v>
      </c>
      <c r="S18">
        <v>59</v>
      </c>
      <c r="U18">
        <v>1</v>
      </c>
      <c r="V18">
        <v>11500</v>
      </c>
      <c r="X18" t="s">
        <v>344</v>
      </c>
      <c r="Z18" t="s">
        <v>141</v>
      </c>
      <c r="AA18" t="s">
        <v>141</v>
      </c>
      <c r="AB18">
        <v>45</v>
      </c>
      <c r="AC18" t="s">
        <v>141</v>
      </c>
      <c r="AD18" t="s">
        <v>141</v>
      </c>
      <c r="AE18" t="s">
        <v>142</v>
      </c>
      <c r="AF18">
        <v>19</v>
      </c>
      <c r="AI18">
        <v>1</v>
      </c>
      <c r="AL18" t="s">
        <v>334</v>
      </c>
      <c r="AM18" t="s">
        <v>325</v>
      </c>
      <c r="AS18">
        <v>11</v>
      </c>
      <c r="AT18">
        <v>1</v>
      </c>
      <c r="AU18">
        <v>2</v>
      </c>
      <c r="AW18">
        <v>1</v>
      </c>
      <c r="AX18">
        <v>1</v>
      </c>
      <c r="AY18">
        <v>8</v>
      </c>
      <c r="AZ18">
        <v>1917</v>
      </c>
      <c r="BA18">
        <v>8</v>
      </c>
      <c r="BB18">
        <v>2</v>
      </c>
      <c r="BC18">
        <v>1</v>
      </c>
      <c r="BD18">
        <v>10</v>
      </c>
      <c r="BE18">
        <v>64</v>
      </c>
      <c r="BF18">
        <v>54</v>
      </c>
      <c r="BG18">
        <v>1</v>
      </c>
      <c r="BH18">
        <v>4</v>
      </c>
      <c r="BI18">
        <v>1</v>
      </c>
      <c r="BJ18">
        <v>21</v>
      </c>
      <c r="BK18">
        <v>21</v>
      </c>
      <c r="BL18">
        <v>20</v>
      </c>
      <c r="BM18">
        <v>1585</v>
      </c>
      <c r="BN18">
        <v>29.541131</v>
      </c>
      <c r="BO18">
        <v>-95.400355000000005</v>
      </c>
      <c r="BT18" t="s">
        <v>345</v>
      </c>
      <c r="BU18">
        <v>2299</v>
      </c>
      <c r="CD18" t="s">
        <v>335</v>
      </c>
      <c r="CI18" t="s">
        <v>142</v>
      </c>
      <c r="CJ18" t="s">
        <v>141</v>
      </c>
      <c r="CK18" t="s">
        <v>142</v>
      </c>
      <c r="CL18">
        <v>3</v>
      </c>
      <c r="CM18">
        <v>0</v>
      </c>
      <c r="CN18" t="s">
        <v>142</v>
      </c>
      <c r="CO18" t="s">
        <v>327</v>
      </c>
      <c r="ES18">
        <v>0</v>
      </c>
      <c r="ET18">
        <v>0</v>
      </c>
      <c r="EU18">
        <v>1</v>
      </c>
      <c r="EV18">
        <v>1</v>
      </c>
      <c r="EW18">
        <v>0</v>
      </c>
      <c r="EX18">
        <v>1</v>
      </c>
      <c r="EY18">
        <v>0</v>
      </c>
      <c r="EZ18">
        <v>2011</v>
      </c>
      <c r="FA18">
        <v>2011</v>
      </c>
      <c r="FB18">
        <v>20</v>
      </c>
      <c r="FC18">
        <v>59</v>
      </c>
      <c r="FD18" t="s">
        <v>344</v>
      </c>
    </row>
    <row r="19" spans="1:160" x14ac:dyDescent="0.25">
      <c r="A19">
        <v>13319395</v>
      </c>
      <c r="B19" t="s">
        <v>141</v>
      </c>
      <c r="C19" t="s">
        <v>141</v>
      </c>
      <c r="D19" t="s">
        <v>141</v>
      </c>
      <c r="E19" t="s">
        <v>141</v>
      </c>
      <c r="F19" t="s">
        <v>141</v>
      </c>
      <c r="G19" t="s">
        <v>141</v>
      </c>
      <c r="H19" t="s">
        <v>141</v>
      </c>
      <c r="I19" s="99">
        <v>41439</v>
      </c>
      <c r="J19" s="98">
        <v>0.70833333333333337</v>
      </c>
      <c r="L19">
        <v>20</v>
      </c>
      <c r="M19">
        <v>1585</v>
      </c>
      <c r="N19" t="s">
        <v>142</v>
      </c>
      <c r="O19" t="s">
        <v>142</v>
      </c>
      <c r="P19">
        <v>29.540929999999999</v>
      </c>
      <c r="Q19">
        <v>-95.400450000000006</v>
      </c>
      <c r="R19">
        <v>15</v>
      </c>
      <c r="S19">
        <v>59</v>
      </c>
      <c r="U19">
        <v>1</v>
      </c>
      <c r="X19" t="s">
        <v>322</v>
      </c>
      <c r="Z19" t="s">
        <v>141</v>
      </c>
      <c r="AA19" t="s">
        <v>141</v>
      </c>
      <c r="AB19">
        <v>35</v>
      </c>
      <c r="AC19" t="s">
        <v>141</v>
      </c>
      <c r="AD19" t="s">
        <v>141</v>
      </c>
      <c r="AE19" t="s">
        <v>141</v>
      </c>
      <c r="AF19">
        <v>19</v>
      </c>
      <c r="AL19" t="s">
        <v>334</v>
      </c>
      <c r="AM19" t="s">
        <v>325</v>
      </c>
      <c r="AS19">
        <v>11</v>
      </c>
      <c r="AT19">
        <v>1</v>
      </c>
      <c r="AU19">
        <v>0</v>
      </c>
      <c r="AW19">
        <v>1</v>
      </c>
      <c r="AX19">
        <v>1</v>
      </c>
      <c r="AY19">
        <v>11</v>
      </c>
      <c r="AZ19">
        <v>10000</v>
      </c>
      <c r="BA19">
        <v>8</v>
      </c>
      <c r="BB19">
        <v>2</v>
      </c>
      <c r="BC19">
        <v>4</v>
      </c>
      <c r="BD19">
        <v>20</v>
      </c>
      <c r="BE19">
        <v>64</v>
      </c>
      <c r="BF19">
        <v>42</v>
      </c>
      <c r="BG19">
        <v>1</v>
      </c>
      <c r="BH19">
        <v>4</v>
      </c>
      <c r="BI19">
        <v>1</v>
      </c>
      <c r="BJ19">
        <v>21</v>
      </c>
      <c r="BK19">
        <v>21</v>
      </c>
      <c r="BL19">
        <v>20</v>
      </c>
      <c r="BM19">
        <v>1585</v>
      </c>
      <c r="BN19">
        <v>29.541127599999999</v>
      </c>
      <c r="BO19">
        <v>-95.400456610000006</v>
      </c>
      <c r="BT19" t="s">
        <v>337</v>
      </c>
      <c r="BU19">
        <v>2296</v>
      </c>
      <c r="CD19" t="s">
        <v>321</v>
      </c>
      <c r="CI19" t="s">
        <v>142</v>
      </c>
      <c r="CJ19" t="s">
        <v>141</v>
      </c>
      <c r="CK19" t="s">
        <v>142</v>
      </c>
      <c r="CL19">
        <v>5</v>
      </c>
      <c r="CM19">
        <v>0</v>
      </c>
      <c r="CN19" t="s">
        <v>142</v>
      </c>
      <c r="CO19" t="s">
        <v>329</v>
      </c>
      <c r="ES19">
        <v>0</v>
      </c>
      <c r="ET19">
        <v>0</v>
      </c>
      <c r="EU19">
        <v>0</v>
      </c>
      <c r="EV19">
        <v>3</v>
      </c>
      <c r="EW19">
        <v>0</v>
      </c>
      <c r="EX19">
        <v>0</v>
      </c>
      <c r="EY19">
        <v>0</v>
      </c>
      <c r="EZ19">
        <v>2013</v>
      </c>
      <c r="FA19">
        <v>2013</v>
      </c>
      <c r="FB19">
        <v>20</v>
      </c>
      <c r="FC19">
        <v>59</v>
      </c>
      <c r="FD19" t="s">
        <v>322</v>
      </c>
    </row>
    <row r="20" spans="1:160" x14ac:dyDescent="0.25">
      <c r="A20">
        <v>12285569</v>
      </c>
      <c r="B20" t="s">
        <v>141</v>
      </c>
      <c r="C20" t="s">
        <v>141</v>
      </c>
      <c r="D20" t="s">
        <v>141</v>
      </c>
      <c r="E20" t="s">
        <v>141</v>
      </c>
      <c r="F20" t="s">
        <v>141</v>
      </c>
      <c r="G20" t="s">
        <v>141</v>
      </c>
      <c r="H20" t="s">
        <v>141</v>
      </c>
      <c r="I20" s="99">
        <v>40789</v>
      </c>
      <c r="J20" s="98">
        <v>0.68680555555555556</v>
      </c>
      <c r="L20">
        <v>20</v>
      </c>
      <c r="M20">
        <v>1585</v>
      </c>
      <c r="N20" t="s">
        <v>142</v>
      </c>
      <c r="O20" t="s">
        <v>142</v>
      </c>
      <c r="P20">
        <v>29.540700000000001</v>
      </c>
      <c r="Q20">
        <v>-95.400419999999997</v>
      </c>
      <c r="R20">
        <v>15</v>
      </c>
      <c r="S20">
        <v>59</v>
      </c>
      <c r="U20">
        <v>1</v>
      </c>
      <c r="X20" t="s">
        <v>322</v>
      </c>
      <c r="Z20" t="s">
        <v>141</v>
      </c>
      <c r="AA20" t="s">
        <v>141</v>
      </c>
      <c r="AB20">
        <v>45</v>
      </c>
      <c r="AC20" t="s">
        <v>141</v>
      </c>
      <c r="AD20" t="s">
        <v>141</v>
      </c>
      <c r="AE20" t="s">
        <v>142</v>
      </c>
      <c r="AF20">
        <v>19</v>
      </c>
      <c r="AI20">
        <v>1</v>
      </c>
      <c r="AL20" t="s">
        <v>334</v>
      </c>
      <c r="AM20" t="s">
        <v>325</v>
      </c>
      <c r="AS20">
        <v>12</v>
      </c>
      <c r="AT20">
        <v>1</v>
      </c>
      <c r="AU20">
        <v>4</v>
      </c>
      <c r="AW20">
        <v>1</v>
      </c>
      <c r="AX20">
        <v>1</v>
      </c>
      <c r="AY20">
        <v>8</v>
      </c>
      <c r="AZ20">
        <v>10000</v>
      </c>
      <c r="BA20">
        <v>8</v>
      </c>
      <c r="BB20">
        <v>2</v>
      </c>
      <c r="BC20">
        <v>1</v>
      </c>
      <c r="BD20">
        <v>14</v>
      </c>
      <c r="BE20">
        <v>64</v>
      </c>
      <c r="BF20">
        <v>54</v>
      </c>
      <c r="BG20">
        <v>1</v>
      </c>
      <c r="BH20">
        <v>4</v>
      </c>
      <c r="BI20">
        <v>1</v>
      </c>
      <c r="BJ20">
        <v>21</v>
      </c>
      <c r="BK20">
        <v>21</v>
      </c>
      <c r="BL20">
        <v>20</v>
      </c>
      <c r="BM20">
        <v>1585</v>
      </c>
      <c r="BN20">
        <v>29.541128350000001</v>
      </c>
      <c r="BO20">
        <v>-95.400434329999996</v>
      </c>
      <c r="BT20" t="s">
        <v>337</v>
      </c>
      <c r="BU20">
        <v>2296</v>
      </c>
      <c r="CD20" t="s">
        <v>323</v>
      </c>
      <c r="CI20" t="s">
        <v>142</v>
      </c>
      <c r="CJ20" t="s">
        <v>141</v>
      </c>
      <c r="CK20" t="s">
        <v>142</v>
      </c>
      <c r="CL20">
        <v>2</v>
      </c>
      <c r="CM20">
        <v>0</v>
      </c>
      <c r="CN20" t="s">
        <v>142</v>
      </c>
      <c r="CO20" t="s">
        <v>144</v>
      </c>
      <c r="ES20">
        <v>0</v>
      </c>
      <c r="ET20">
        <v>3</v>
      </c>
      <c r="EU20">
        <v>1</v>
      </c>
      <c r="EV20">
        <v>1</v>
      </c>
      <c r="EW20">
        <v>0</v>
      </c>
      <c r="EX20">
        <v>4</v>
      </c>
      <c r="EY20">
        <v>0</v>
      </c>
      <c r="EZ20">
        <v>2011</v>
      </c>
      <c r="FA20">
        <v>2011</v>
      </c>
      <c r="FB20">
        <v>20</v>
      </c>
      <c r="FC20">
        <v>59</v>
      </c>
      <c r="FD20" t="s">
        <v>322</v>
      </c>
    </row>
    <row r="21" spans="1:160" x14ac:dyDescent="0.25">
      <c r="A21">
        <v>12263049</v>
      </c>
      <c r="B21" t="s">
        <v>141</v>
      </c>
      <c r="C21" t="s">
        <v>141</v>
      </c>
      <c r="D21" t="s">
        <v>141</v>
      </c>
      <c r="E21" t="s">
        <v>141</v>
      </c>
      <c r="F21" t="s">
        <v>141</v>
      </c>
      <c r="G21" t="s">
        <v>141</v>
      </c>
      <c r="H21" t="s">
        <v>141</v>
      </c>
      <c r="I21" s="99">
        <v>40752</v>
      </c>
      <c r="J21" s="98">
        <v>0.69791666666666663</v>
      </c>
      <c r="L21">
        <v>20</v>
      </c>
      <c r="M21">
        <v>1585</v>
      </c>
      <c r="N21" t="s">
        <v>142</v>
      </c>
      <c r="O21" t="s">
        <v>142</v>
      </c>
      <c r="P21">
        <v>29.541119999999999</v>
      </c>
      <c r="Q21">
        <v>-95.400779999999997</v>
      </c>
      <c r="R21">
        <v>15</v>
      </c>
      <c r="S21">
        <v>59</v>
      </c>
      <c r="U21">
        <v>1</v>
      </c>
      <c r="X21" t="s">
        <v>322</v>
      </c>
      <c r="Z21" t="s">
        <v>141</v>
      </c>
      <c r="AA21" t="s">
        <v>141</v>
      </c>
      <c r="AB21">
        <v>40</v>
      </c>
      <c r="AC21" t="s">
        <v>141</v>
      </c>
      <c r="AD21" t="s">
        <v>141</v>
      </c>
      <c r="AE21" t="s">
        <v>142</v>
      </c>
      <c r="AF21">
        <v>15</v>
      </c>
      <c r="AI21">
        <v>1</v>
      </c>
      <c r="AL21" t="s">
        <v>334</v>
      </c>
      <c r="AM21" t="s">
        <v>325</v>
      </c>
      <c r="AS21">
        <v>11</v>
      </c>
      <c r="AT21">
        <v>1</v>
      </c>
      <c r="AU21">
        <v>4</v>
      </c>
      <c r="AW21">
        <v>1</v>
      </c>
      <c r="AX21">
        <v>1</v>
      </c>
      <c r="AY21">
        <v>1</v>
      </c>
      <c r="AZ21">
        <v>10000</v>
      </c>
      <c r="BA21">
        <v>8</v>
      </c>
      <c r="BB21">
        <v>2</v>
      </c>
      <c r="BC21">
        <v>1</v>
      </c>
      <c r="BD21">
        <v>21</v>
      </c>
      <c r="BE21">
        <v>29</v>
      </c>
      <c r="BF21">
        <v>54</v>
      </c>
      <c r="BG21">
        <v>1</v>
      </c>
      <c r="BH21">
        <v>4</v>
      </c>
      <c r="BI21">
        <v>1</v>
      </c>
      <c r="BJ21">
        <v>21</v>
      </c>
      <c r="BK21">
        <v>21</v>
      </c>
      <c r="BL21">
        <v>20</v>
      </c>
      <c r="BM21">
        <v>1585</v>
      </c>
      <c r="BN21">
        <v>29.54111679</v>
      </c>
      <c r="BO21">
        <v>-95.400779889999995</v>
      </c>
      <c r="BT21" t="s">
        <v>337</v>
      </c>
      <c r="BU21">
        <v>2285</v>
      </c>
      <c r="CD21" t="s">
        <v>323</v>
      </c>
      <c r="CI21" t="s">
        <v>142</v>
      </c>
      <c r="CJ21" t="s">
        <v>141</v>
      </c>
      <c r="CK21" t="s">
        <v>142</v>
      </c>
      <c r="CL21">
        <v>5</v>
      </c>
      <c r="CM21">
        <v>0</v>
      </c>
      <c r="CN21" t="s">
        <v>142</v>
      </c>
      <c r="CO21" t="s">
        <v>328</v>
      </c>
      <c r="ES21">
        <v>0</v>
      </c>
      <c r="ET21">
        <v>0</v>
      </c>
      <c r="EU21">
        <v>0</v>
      </c>
      <c r="EV21">
        <v>2</v>
      </c>
      <c r="EW21">
        <v>0</v>
      </c>
      <c r="EX21">
        <v>0</v>
      </c>
      <c r="EY21">
        <v>0</v>
      </c>
      <c r="EZ21">
        <v>2011</v>
      </c>
      <c r="FA21">
        <v>2011</v>
      </c>
      <c r="FB21">
        <v>20</v>
      </c>
      <c r="FC21">
        <v>59</v>
      </c>
      <c r="FD21" t="s">
        <v>322</v>
      </c>
    </row>
    <row r="22" spans="1:160" x14ac:dyDescent="0.25">
      <c r="A22">
        <v>12173082</v>
      </c>
      <c r="B22" t="s">
        <v>141</v>
      </c>
      <c r="C22" t="s">
        <v>141</v>
      </c>
      <c r="D22" t="s">
        <v>141</v>
      </c>
      <c r="E22" t="s">
        <v>141</v>
      </c>
      <c r="F22" t="s">
        <v>141</v>
      </c>
      <c r="G22" t="s">
        <v>141</v>
      </c>
      <c r="H22" t="s">
        <v>141</v>
      </c>
      <c r="I22" s="99">
        <v>40696</v>
      </c>
      <c r="J22" s="98">
        <v>0.41666666666666669</v>
      </c>
      <c r="L22">
        <v>20</v>
      </c>
      <c r="M22">
        <v>1585</v>
      </c>
      <c r="N22" t="s">
        <v>142</v>
      </c>
      <c r="O22" t="s">
        <v>142</v>
      </c>
      <c r="P22">
        <v>29.541049999999998</v>
      </c>
      <c r="Q22">
        <v>-95.400549999999996</v>
      </c>
      <c r="R22">
        <v>15</v>
      </c>
      <c r="S22">
        <v>59</v>
      </c>
      <c r="U22">
        <v>1</v>
      </c>
      <c r="X22" t="s">
        <v>322</v>
      </c>
      <c r="Z22" t="s">
        <v>141</v>
      </c>
      <c r="AA22" t="s">
        <v>141</v>
      </c>
      <c r="AB22">
        <v>45</v>
      </c>
      <c r="AC22" t="s">
        <v>141</v>
      </c>
      <c r="AD22" t="s">
        <v>141</v>
      </c>
      <c r="AE22" t="s">
        <v>142</v>
      </c>
      <c r="AF22">
        <v>19</v>
      </c>
      <c r="AI22">
        <v>1</v>
      </c>
      <c r="AL22" t="s">
        <v>334</v>
      </c>
      <c r="AM22" t="s">
        <v>349</v>
      </c>
      <c r="AS22">
        <v>11</v>
      </c>
      <c r="AT22">
        <v>1</v>
      </c>
      <c r="AU22">
        <v>4</v>
      </c>
      <c r="AW22">
        <v>1</v>
      </c>
      <c r="AX22">
        <v>1</v>
      </c>
      <c r="AY22">
        <v>8</v>
      </c>
      <c r="AZ22">
        <v>10000</v>
      </c>
      <c r="BA22">
        <v>8</v>
      </c>
      <c r="BB22">
        <v>2</v>
      </c>
      <c r="BC22">
        <v>1</v>
      </c>
      <c r="BD22">
        <v>14</v>
      </c>
      <c r="BE22">
        <v>64</v>
      </c>
      <c r="BF22">
        <v>54</v>
      </c>
      <c r="BG22">
        <v>1</v>
      </c>
      <c r="BH22">
        <v>4</v>
      </c>
      <c r="BI22">
        <v>1</v>
      </c>
      <c r="BJ22">
        <v>21</v>
      </c>
      <c r="BK22">
        <v>21</v>
      </c>
      <c r="BL22">
        <v>20</v>
      </c>
      <c r="BM22">
        <v>1585</v>
      </c>
      <c r="BN22">
        <v>29.54112439</v>
      </c>
      <c r="BO22">
        <v>-95.400552489999995</v>
      </c>
      <c r="BT22" t="s">
        <v>337</v>
      </c>
      <c r="BU22">
        <v>2292</v>
      </c>
      <c r="CD22" t="s">
        <v>323</v>
      </c>
      <c r="CI22" t="s">
        <v>142</v>
      </c>
      <c r="CJ22" t="s">
        <v>141</v>
      </c>
      <c r="CK22" t="s">
        <v>142</v>
      </c>
      <c r="CL22">
        <v>2</v>
      </c>
      <c r="CM22">
        <v>0</v>
      </c>
      <c r="CN22" t="s">
        <v>142</v>
      </c>
      <c r="CO22" t="s">
        <v>328</v>
      </c>
      <c r="ES22">
        <v>0</v>
      </c>
      <c r="ET22">
        <v>1</v>
      </c>
      <c r="EU22">
        <v>0</v>
      </c>
      <c r="EV22">
        <v>2</v>
      </c>
      <c r="EW22">
        <v>0</v>
      </c>
      <c r="EX22">
        <v>1</v>
      </c>
      <c r="EY22">
        <v>0</v>
      </c>
      <c r="EZ22">
        <v>2011</v>
      </c>
      <c r="FA22">
        <v>2011</v>
      </c>
      <c r="FB22">
        <v>20</v>
      </c>
      <c r="FC22">
        <v>59</v>
      </c>
      <c r="FD22" t="s">
        <v>322</v>
      </c>
    </row>
    <row r="23" spans="1:160" x14ac:dyDescent="0.25">
      <c r="A23">
        <v>11679460</v>
      </c>
      <c r="B23" t="s">
        <v>141</v>
      </c>
      <c r="C23" t="s">
        <v>141</v>
      </c>
      <c r="D23" t="s">
        <v>141</v>
      </c>
      <c r="E23" t="s">
        <v>141</v>
      </c>
      <c r="F23" t="s">
        <v>141</v>
      </c>
      <c r="G23" t="s">
        <v>141</v>
      </c>
      <c r="H23" t="s">
        <v>141</v>
      </c>
      <c r="I23" s="99">
        <v>40384</v>
      </c>
      <c r="J23" s="98">
        <v>0.38541666666666669</v>
      </c>
      <c r="L23">
        <v>20</v>
      </c>
      <c r="M23">
        <v>1585</v>
      </c>
      <c r="N23" t="s">
        <v>142</v>
      </c>
      <c r="O23" t="s">
        <v>142</v>
      </c>
      <c r="P23">
        <v>29.541049999999998</v>
      </c>
      <c r="Q23">
        <v>-95.400400000000005</v>
      </c>
      <c r="R23">
        <v>15</v>
      </c>
      <c r="S23">
        <v>59</v>
      </c>
      <c r="U23">
        <v>1</v>
      </c>
      <c r="X23" t="s">
        <v>322</v>
      </c>
      <c r="Z23" t="s">
        <v>141</v>
      </c>
      <c r="AA23" t="s">
        <v>141</v>
      </c>
      <c r="AB23">
        <v>45</v>
      </c>
      <c r="AC23" t="s">
        <v>141</v>
      </c>
      <c r="AD23" t="s">
        <v>141</v>
      </c>
      <c r="AE23" t="s">
        <v>142</v>
      </c>
      <c r="AF23">
        <v>19</v>
      </c>
      <c r="AI23">
        <v>1</v>
      </c>
      <c r="AL23" t="s">
        <v>334</v>
      </c>
      <c r="AM23" t="s">
        <v>325</v>
      </c>
      <c r="AS23">
        <v>11</v>
      </c>
      <c r="AT23">
        <v>1</v>
      </c>
      <c r="AU23">
        <v>2</v>
      </c>
      <c r="AW23">
        <v>1</v>
      </c>
      <c r="AX23">
        <v>1</v>
      </c>
      <c r="AY23">
        <v>8</v>
      </c>
      <c r="AZ23">
        <v>10000</v>
      </c>
      <c r="BA23">
        <v>8</v>
      </c>
      <c r="BB23">
        <v>2</v>
      </c>
      <c r="BC23">
        <v>1</v>
      </c>
      <c r="BD23">
        <v>10</v>
      </c>
      <c r="BE23">
        <v>64</v>
      </c>
      <c r="BF23">
        <v>54</v>
      </c>
      <c r="BG23">
        <v>1</v>
      </c>
      <c r="BH23">
        <v>4</v>
      </c>
      <c r="BI23">
        <v>1</v>
      </c>
      <c r="BJ23">
        <v>21</v>
      </c>
      <c r="BK23">
        <v>21</v>
      </c>
      <c r="BL23">
        <v>20</v>
      </c>
      <c r="BM23">
        <v>1585</v>
      </c>
      <c r="BN23">
        <v>29.54112941</v>
      </c>
      <c r="BO23">
        <v>-95.400402659999997</v>
      </c>
      <c r="BT23" t="s">
        <v>337</v>
      </c>
      <c r="BU23">
        <v>2297</v>
      </c>
      <c r="CD23" t="s">
        <v>323</v>
      </c>
      <c r="CI23" t="s">
        <v>142</v>
      </c>
      <c r="CJ23" t="s">
        <v>141</v>
      </c>
      <c r="CK23" t="s">
        <v>142</v>
      </c>
      <c r="CL23">
        <v>5</v>
      </c>
      <c r="CM23">
        <v>0</v>
      </c>
      <c r="CN23" t="s">
        <v>142</v>
      </c>
      <c r="CO23" t="s">
        <v>324</v>
      </c>
      <c r="ES23">
        <v>0</v>
      </c>
      <c r="ET23">
        <v>0</v>
      </c>
      <c r="EU23">
        <v>0</v>
      </c>
      <c r="EV23">
        <v>2</v>
      </c>
      <c r="EW23">
        <v>0</v>
      </c>
      <c r="EX23">
        <v>0</v>
      </c>
      <c r="EY23">
        <v>0</v>
      </c>
      <c r="EZ23">
        <v>2010</v>
      </c>
      <c r="FA23">
        <v>2010</v>
      </c>
      <c r="FB23">
        <v>20</v>
      </c>
      <c r="FC23">
        <v>59</v>
      </c>
      <c r="FD23" t="s">
        <v>322</v>
      </c>
    </row>
    <row r="24" spans="1:160" x14ac:dyDescent="0.25">
      <c r="A24">
        <v>11509005</v>
      </c>
      <c r="B24" t="s">
        <v>141</v>
      </c>
      <c r="C24" t="s">
        <v>141</v>
      </c>
      <c r="D24" t="s">
        <v>141</v>
      </c>
      <c r="E24" t="s">
        <v>141</v>
      </c>
      <c r="F24" t="s">
        <v>141</v>
      </c>
      <c r="G24" t="s">
        <v>141</v>
      </c>
      <c r="H24" t="s">
        <v>141</v>
      </c>
      <c r="I24" s="99">
        <v>40324</v>
      </c>
      <c r="J24" s="98">
        <v>0.99930555555555556</v>
      </c>
      <c r="K24" t="s">
        <v>350</v>
      </c>
      <c r="L24">
        <v>20</v>
      </c>
      <c r="M24">
        <v>1585</v>
      </c>
      <c r="N24" t="s">
        <v>142</v>
      </c>
      <c r="O24" t="s">
        <v>142</v>
      </c>
      <c r="R24">
        <v>15</v>
      </c>
      <c r="S24">
        <v>59</v>
      </c>
      <c r="U24">
        <v>1</v>
      </c>
      <c r="V24">
        <v>2465</v>
      </c>
      <c r="W24" t="s">
        <v>351</v>
      </c>
      <c r="X24" t="s">
        <v>322</v>
      </c>
      <c r="Z24" t="s">
        <v>141</v>
      </c>
      <c r="AA24" t="s">
        <v>141</v>
      </c>
      <c r="AB24">
        <v>45</v>
      </c>
      <c r="AC24" t="s">
        <v>141</v>
      </c>
      <c r="AD24" t="s">
        <v>141</v>
      </c>
      <c r="AE24" t="s">
        <v>141</v>
      </c>
      <c r="AF24">
        <v>19</v>
      </c>
      <c r="AI24">
        <v>1</v>
      </c>
      <c r="AL24" t="s">
        <v>335</v>
      </c>
      <c r="AS24">
        <v>11</v>
      </c>
      <c r="AT24">
        <v>3</v>
      </c>
      <c r="AU24">
        <v>0</v>
      </c>
      <c r="AW24">
        <v>1</v>
      </c>
      <c r="AX24">
        <v>1</v>
      </c>
      <c r="AY24">
        <v>1</v>
      </c>
      <c r="AZ24">
        <v>148</v>
      </c>
      <c r="BA24">
        <v>8</v>
      </c>
      <c r="BB24">
        <v>7</v>
      </c>
      <c r="BC24">
        <v>4</v>
      </c>
      <c r="BD24">
        <v>1</v>
      </c>
      <c r="BE24">
        <v>62</v>
      </c>
      <c r="BF24">
        <v>54</v>
      </c>
      <c r="BG24">
        <v>1</v>
      </c>
      <c r="BH24">
        <v>4</v>
      </c>
      <c r="BI24">
        <v>2</v>
      </c>
      <c r="BJ24">
        <v>21</v>
      </c>
      <c r="BK24">
        <v>21</v>
      </c>
      <c r="BL24">
        <v>20</v>
      </c>
      <c r="BM24">
        <v>1585</v>
      </c>
      <c r="BN24">
        <v>29.541061890000002</v>
      </c>
      <c r="BO24">
        <v>-95.402420939999999</v>
      </c>
      <c r="BT24" t="s">
        <v>345</v>
      </c>
      <c r="BU24">
        <v>2230</v>
      </c>
      <c r="CD24" t="s">
        <v>321</v>
      </c>
      <c r="CI24" t="s">
        <v>142</v>
      </c>
      <c r="CJ24" t="s">
        <v>141</v>
      </c>
      <c r="CK24" t="s">
        <v>142</v>
      </c>
      <c r="CL24">
        <v>5</v>
      </c>
      <c r="CM24">
        <v>0</v>
      </c>
      <c r="CN24" t="s">
        <v>142</v>
      </c>
      <c r="CO24" t="s">
        <v>327</v>
      </c>
      <c r="ES24">
        <v>0</v>
      </c>
      <c r="ET24">
        <v>0</v>
      </c>
      <c r="EU24">
        <v>0</v>
      </c>
      <c r="EV24">
        <v>1</v>
      </c>
      <c r="EW24">
        <v>0</v>
      </c>
      <c r="EX24">
        <v>0</v>
      </c>
      <c r="EY24">
        <v>0</v>
      </c>
      <c r="EZ24">
        <v>2010</v>
      </c>
      <c r="FA24">
        <v>2010</v>
      </c>
      <c r="FB24">
        <v>20</v>
      </c>
      <c r="FC24">
        <v>59</v>
      </c>
      <c r="FD24" t="s">
        <v>322</v>
      </c>
    </row>
    <row r="25" spans="1:160" x14ac:dyDescent="0.25">
      <c r="A25">
        <v>13156947</v>
      </c>
      <c r="B25" t="s">
        <v>141</v>
      </c>
      <c r="C25" t="s">
        <v>141</v>
      </c>
      <c r="D25" t="s">
        <v>141</v>
      </c>
      <c r="E25" t="s">
        <v>141</v>
      </c>
      <c r="F25" t="s">
        <v>141</v>
      </c>
      <c r="G25" t="s">
        <v>142</v>
      </c>
      <c r="H25" t="s">
        <v>141</v>
      </c>
      <c r="I25" s="99">
        <v>41327</v>
      </c>
      <c r="J25" s="98">
        <v>0.79305555555555562</v>
      </c>
      <c r="L25">
        <v>20</v>
      </c>
      <c r="M25">
        <v>1585</v>
      </c>
      <c r="N25" t="s">
        <v>142</v>
      </c>
      <c r="O25" t="s">
        <v>142</v>
      </c>
      <c r="P25">
        <v>29.55058</v>
      </c>
      <c r="Q25">
        <v>-95.417450000000002</v>
      </c>
      <c r="R25">
        <v>15</v>
      </c>
      <c r="S25">
        <v>59</v>
      </c>
      <c r="U25">
        <v>1</v>
      </c>
      <c r="X25" t="s">
        <v>322</v>
      </c>
      <c r="Z25" t="s">
        <v>141</v>
      </c>
      <c r="AA25" t="s">
        <v>141</v>
      </c>
      <c r="AB25">
        <v>45</v>
      </c>
      <c r="AC25" t="s">
        <v>141</v>
      </c>
      <c r="AD25" t="s">
        <v>141</v>
      </c>
      <c r="AE25" t="s">
        <v>142</v>
      </c>
      <c r="AF25">
        <v>15</v>
      </c>
      <c r="AG25">
        <v>48</v>
      </c>
      <c r="AI25">
        <v>1</v>
      </c>
      <c r="AL25" t="s">
        <v>322</v>
      </c>
      <c r="AS25">
        <v>11</v>
      </c>
      <c r="AT25">
        <v>3</v>
      </c>
      <c r="AU25">
        <v>4</v>
      </c>
      <c r="AW25">
        <v>1</v>
      </c>
      <c r="AX25">
        <v>1</v>
      </c>
      <c r="AY25">
        <v>8</v>
      </c>
      <c r="AZ25">
        <v>10000</v>
      </c>
      <c r="BA25">
        <v>8</v>
      </c>
      <c r="BB25">
        <v>2</v>
      </c>
      <c r="BC25">
        <v>1</v>
      </c>
      <c r="BD25">
        <v>34</v>
      </c>
      <c r="BE25">
        <v>64</v>
      </c>
      <c r="BF25">
        <v>54</v>
      </c>
      <c r="BG25">
        <v>1</v>
      </c>
      <c r="BH25">
        <v>4</v>
      </c>
      <c r="BI25">
        <v>1</v>
      </c>
      <c r="BJ25">
        <v>21</v>
      </c>
      <c r="BK25">
        <v>21</v>
      </c>
      <c r="BL25">
        <v>20</v>
      </c>
      <c r="BM25">
        <v>1585</v>
      </c>
      <c r="BN25">
        <v>29.55058361</v>
      </c>
      <c r="BO25">
        <v>-95.417325660000003</v>
      </c>
      <c r="BT25" t="s">
        <v>352</v>
      </c>
      <c r="BU25">
        <v>2381</v>
      </c>
      <c r="CD25" t="s">
        <v>323</v>
      </c>
      <c r="CI25" t="s">
        <v>142</v>
      </c>
      <c r="CJ25" t="s">
        <v>141</v>
      </c>
      <c r="CK25" t="s">
        <v>142</v>
      </c>
      <c r="CL25">
        <v>5</v>
      </c>
      <c r="CM25">
        <v>0</v>
      </c>
      <c r="CN25" t="s">
        <v>142</v>
      </c>
      <c r="CO25" t="s">
        <v>329</v>
      </c>
      <c r="ES25">
        <v>0</v>
      </c>
      <c r="ET25">
        <v>0</v>
      </c>
      <c r="EU25">
        <v>0</v>
      </c>
      <c r="EV25">
        <v>2</v>
      </c>
      <c r="EW25">
        <v>0</v>
      </c>
      <c r="EX25">
        <v>0</v>
      </c>
      <c r="EY25">
        <v>0</v>
      </c>
      <c r="EZ25">
        <v>2013</v>
      </c>
      <c r="FA25">
        <v>2013</v>
      </c>
      <c r="FB25">
        <v>20</v>
      </c>
      <c r="FC25">
        <v>59</v>
      </c>
      <c r="FD25" t="s">
        <v>322</v>
      </c>
    </row>
    <row r="26" spans="1:160" x14ac:dyDescent="0.25">
      <c r="A26">
        <v>12671430</v>
      </c>
      <c r="B26" t="s">
        <v>141</v>
      </c>
      <c r="C26" t="s">
        <v>141</v>
      </c>
      <c r="D26" t="s">
        <v>141</v>
      </c>
      <c r="E26" t="s">
        <v>141</v>
      </c>
      <c r="F26" t="s">
        <v>141</v>
      </c>
      <c r="G26" t="s">
        <v>141</v>
      </c>
      <c r="H26" t="s">
        <v>141</v>
      </c>
      <c r="I26" s="99">
        <v>40994</v>
      </c>
      <c r="J26" s="98">
        <v>1.7361111111111112E-2</v>
      </c>
      <c r="L26">
        <v>20</v>
      </c>
      <c r="M26">
        <v>1585</v>
      </c>
      <c r="N26" t="s">
        <v>142</v>
      </c>
      <c r="O26" t="s">
        <v>142</v>
      </c>
      <c r="P26">
        <v>29.54074</v>
      </c>
      <c r="Q26">
        <v>-95.416979999999995</v>
      </c>
      <c r="R26">
        <v>15</v>
      </c>
      <c r="S26">
        <v>59</v>
      </c>
      <c r="U26">
        <v>1</v>
      </c>
      <c r="X26" t="s">
        <v>322</v>
      </c>
      <c r="Z26" t="s">
        <v>141</v>
      </c>
      <c r="AA26" t="s">
        <v>141</v>
      </c>
      <c r="AB26">
        <v>45</v>
      </c>
      <c r="AC26" t="s">
        <v>141</v>
      </c>
      <c r="AD26" t="s">
        <v>141</v>
      </c>
      <c r="AE26" t="s">
        <v>141</v>
      </c>
      <c r="AF26">
        <v>15</v>
      </c>
      <c r="AG26">
        <v>48</v>
      </c>
      <c r="AK26" t="s">
        <v>141</v>
      </c>
      <c r="AL26" t="s">
        <v>322</v>
      </c>
      <c r="AS26">
        <v>11</v>
      </c>
      <c r="AT26">
        <v>3</v>
      </c>
      <c r="AU26">
        <v>0</v>
      </c>
      <c r="AW26">
        <v>1</v>
      </c>
      <c r="AX26">
        <v>1</v>
      </c>
      <c r="AY26">
        <v>8</v>
      </c>
      <c r="AZ26">
        <v>10000</v>
      </c>
      <c r="BA26">
        <v>8</v>
      </c>
      <c r="BB26">
        <v>2</v>
      </c>
      <c r="BC26">
        <v>2</v>
      </c>
      <c r="BD26">
        <v>22</v>
      </c>
      <c r="BE26">
        <v>64</v>
      </c>
      <c r="BF26">
        <v>38</v>
      </c>
      <c r="BG26">
        <v>1</v>
      </c>
      <c r="BH26">
        <v>4</v>
      </c>
      <c r="BI26">
        <v>1</v>
      </c>
      <c r="BJ26">
        <v>21</v>
      </c>
      <c r="BK26">
        <v>21</v>
      </c>
      <c r="BL26">
        <v>20</v>
      </c>
      <c r="BM26">
        <v>1585</v>
      </c>
      <c r="BN26">
        <v>29.540737719999999</v>
      </c>
      <c r="BO26">
        <v>-95.416979940000004</v>
      </c>
      <c r="BT26" t="s">
        <v>337</v>
      </c>
      <c r="BU26">
        <v>1704</v>
      </c>
      <c r="CD26" t="s">
        <v>323</v>
      </c>
      <c r="CI26" t="s">
        <v>142</v>
      </c>
      <c r="CJ26" t="s">
        <v>141</v>
      </c>
      <c r="CK26" t="s">
        <v>142</v>
      </c>
      <c r="CL26">
        <v>5</v>
      </c>
      <c r="CM26">
        <v>0</v>
      </c>
      <c r="CN26" t="s">
        <v>142</v>
      </c>
      <c r="CO26" t="s">
        <v>140</v>
      </c>
      <c r="ES26">
        <v>0</v>
      </c>
      <c r="ET26">
        <v>0</v>
      </c>
      <c r="EU26">
        <v>0</v>
      </c>
      <c r="EV26">
        <v>2</v>
      </c>
      <c r="EW26">
        <v>0</v>
      </c>
      <c r="EX26">
        <v>0</v>
      </c>
      <c r="EY26">
        <v>0</v>
      </c>
      <c r="EZ26">
        <v>2012</v>
      </c>
      <c r="FA26">
        <v>2012</v>
      </c>
      <c r="FB26">
        <v>20</v>
      </c>
      <c r="FC26">
        <v>59</v>
      </c>
      <c r="FD26" t="s">
        <v>322</v>
      </c>
    </row>
    <row r="27" spans="1:160" x14ac:dyDescent="0.25">
      <c r="A27">
        <v>13560630</v>
      </c>
      <c r="B27" t="s">
        <v>141</v>
      </c>
      <c r="C27" t="s">
        <v>141</v>
      </c>
      <c r="D27" t="s">
        <v>141</v>
      </c>
      <c r="E27" t="s">
        <v>141</v>
      </c>
      <c r="F27" t="s">
        <v>141</v>
      </c>
      <c r="G27" t="s">
        <v>141</v>
      </c>
      <c r="H27" t="s">
        <v>141</v>
      </c>
      <c r="I27" s="99">
        <v>41588</v>
      </c>
      <c r="J27" s="98">
        <v>0.78194444444444444</v>
      </c>
      <c r="L27">
        <v>20</v>
      </c>
      <c r="M27">
        <v>1585</v>
      </c>
      <c r="N27" t="s">
        <v>142</v>
      </c>
      <c r="O27" t="s">
        <v>142</v>
      </c>
      <c r="P27">
        <v>29.54054</v>
      </c>
      <c r="Q27">
        <v>-95.416880000000006</v>
      </c>
      <c r="R27">
        <v>15</v>
      </c>
      <c r="S27">
        <v>59</v>
      </c>
      <c r="U27">
        <v>1</v>
      </c>
      <c r="X27" t="s">
        <v>322</v>
      </c>
      <c r="Z27" t="s">
        <v>141</v>
      </c>
      <c r="AA27" t="s">
        <v>141</v>
      </c>
      <c r="AB27">
        <v>40</v>
      </c>
      <c r="AC27" t="s">
        <v>141</v>
      </c>
      <c r="AD27" t="s">
        <v>141</v>
      </c>
      <c r="AE27" t="s">
        <v>142</v>
      </c>
      <c r="AF27">
        <v>15</v>
      </c>
      <c r="AG27">
        <v>48</v>
      </c>
      <c r="AI27">
        <v>1</v>
      </c>
      <c r="AL27" t="s">
        <v>322</v>
      </c>
      <c r="AS27">
        <v>11</v>
      </c>
      <c r="AT27">
        <v>3</v>
      </c>
      <c r="AU27">
        <v>4</v>
      </c>
      <c r="AW27">
        <v>1</v>
      </c>
      <c r="AX27">
        <v>1</v>
      </c>
      <c r="AY27">
        <v>8</v>
      </c>
      <c r="AZ27">
        <v>10000</v>
      </c>
      <c r="BA27">
        <v>8</v>
      </c>
      <c r="BB27">
        <v>2</v>
      </c>
      <c r="BC27">
        <v>1</v>
      </c>
      <c r="BD27">
        <v>10</v>
      </c>
      <c r="BE27">
        <v>64</v>
      </c>
      <c r="BF27">
        <v>54</v>
      </c>
      <c r="BG27">
        <v>1</v>
      </c>
      <c r="BH27">
        <v>4</v>
      </c>
      <c r="BI27">
        <v>1</v>
      </c>
      <c r="BJ27">
        <v>21</v>
      </c>
      <c r="BK27">
        <v>21</v>
      </c>
      <c r="BL27">
        <v>20</v>
      </c>
      <c r="BM27">
        <v>1585</v>
      </c>
      <c r="BN27">
        <v>29.540559999999999</v>
      </c>
      <c r="BO27">
        <v>-95.417045000000002</v>
      </c>
      <c r="BT27" t="s">
        <v>353</v>
      </c>
      <c r="BU27">
        <v>3471</v>
      </c>
      <c r="CD27" t="s">
        <v>323</v>
      </c>
      <c r="CI27" t="s">
        <v>142</v>
      </c>
      <c r="CJ27" t="s">
        <v>141</v>
      </c>
      <c r="CK27" t="s">
        <v>142</v>
      </c>
      <c r="CL27">
        <v>5</v>
      </c>
      <c r="CM27">
        <v>0</v>
      </c>
      <c r="CN27" t="s">
        <v>142</v>
      </c>
      <c r="CO27" t="s">
        <v>324</v>
      </c>
      <c r="ES27">
        <v>0</v>
      </c>
      <c r="ET27">
        <v>0</v>
      </c>
      <c r="EU27">
        <v>0</v>
      </c>
      <c r="EV27">
        <v>2</v>
      </c>
      <c r="EW27">
        <v>0</v>
      </c>
      <c r="EX27">
        <v>0</v>
      </c>
      <c r="EY27">
        <v>0</v>
      </c>
      <c r="EZ27">
        <v>2013</v>
      </c>
      <c r="FA27">
        <v>2013</v>
      </c>
      <c r="FB27">
        <v>20</v>
      </c>
      <c r="FC27">
        <v>59</v>
      </c>
      <c r="FD27" t="s">
        <v>322</v>
      </c>
    </row>
    <row r="28" spans="1:160" x14ac:dyDescent="0.25">
      <c r="A28">
        <v>12119440</v>
      </c>
      <c r="B28" t="s">
        <v>141</v>
      </c>
      <c r="C28" t="s">
        <v>141</v>
      </c>
      <c r="D28" t="s">
        <v>141</v>
      </c>
      <c r="E28" t="s">
        <v>141</v>
      </c>
      <c r="F28" t="s">
        <v>141</v>
      </c>
      <c r="G28" t="s">
        <v>142</v>
      </c>
      <c r="H28" t="s">
        <v>141</v>
      </c>
      <c r="I28" s="99">
        <v>40624</v>
      </c>
      <c r="J28" s="98">
        <v>0.80069444444444438</v>
      </c>
      <c r="L28">
        <v>20</v>
      </c>
      <c r="M28">
        <v>1585</v>
      </c>
      <c r="N28" t="s">
        <v>142</v>
      </c>
      <c r="O28" t="s">
        <v>142</v>
      </c>
      <c r="P28">
        <v>29.540749999999999</v>
      </c>
      <c r="Q28">
        <v>-95.41686</v>
      </c>
      <c r="R28">
        <v>15</v>
      </c>
      <c r="S28">
        <v>59</v>
      </c>
      <c r="U28">
        <v>1</v>
      </c>
      <c r="X28" t="s">
        <v>322</v>
      </c>
      <c r="Z28" t="s">
        <v>141</v>
      </c>
      <c r="AA28" t="s">
        <v>141</v>
      </c>
      <c r="AB28">
        <v>45</v>
      </c>
      <c r="AC28" t="s">
        <v>142</v>
      </c>
      <c r="AD28" t="s">
        <v>141</v>
      </c>
      <c r="AE28" t="s">
        <v>141</v>
      </c>
      <c r="AF28">
        <v>15</v>
      </c>
      <c r="AG28">
        <v>48</v>
      </c>
      <c r="AL28" t="s">
        <v>322</v>
      </c>
      <c r="AS28">
        <v>11</v>
      </c>
      <c r="AT28">
        <v>1</v>
      </c>
      <c r="AU28">
        <v>0</v>
      </c>
      <c r="AW28">
        <v>1</v>
      </c>
      <c r="AX28">
        <v>1</v>
      </c>
      <c r="AY28">
        <v>8</v>
      </c>
      <c r="AZ28">
        <v>10000</v>
      </c>
      <c r="BA28">
        <v>8</v>
      </c>
      <c r="BB28">
        <v>2</v>
      </c>
      <c r="BC28">
        <v>2</v>
      </c>
      <c r="BD28">
        <v>22</v>
      </c>
      <c r="BE28">
        <v>64</v>
      </c>
      <c r="BF28">
        <v>49</v>
      </c>
      <c r="BG28">
        <v>1</v>
      </c>
      <c r="BH28">
        <v>4</v>
      </c>
      <c r="BI28">
        <v>1</v>
      </c>
      <c r="BJ28">
        <v>21</v>
      </c>
      <c r="BK28">
        <v>21</v>
      </c>
      <c r="BL28">
        <v>20</v>
      </c>
      <c r="BM28">
        <v>1585</v>
      </c>
      <c r="BN28">
        <v>29.540740660000001</v>
      </c>
      <c r="BO28">
        <v>-95.416859770000002</v>
      </c>
      <c r="BT28" t="s">
        <v>337</v>
      </c>
      <c r="BU28">
        <v>1708</v>
      </c>
      <c r="CD28" t="s">
        <v>323</v>
      </c>
      <c r="CI28" t="s">
        <v>142</v>
      </c>
      <c r="CJ28" t="s">
        <v>141</v>
      </c>
      <c r="CK28" t="s">
        <v>142</v>
      </c>
      <c r="CL28">
        <v>5</v>
      </c>
      <c r="CM28">
        <v>0</v>
      </c>
      <c r="CN28" t="s">
        <v>142</v>
      </c>
      <c r="CO28" t="s">
        <v>326</v>
      </c>
      <c r="ES28">
        <v>0</v>
      </c>
      <c r="ET28">
        <v>0</v>
      </c>
      <c r="EU28">
        <v>0</v>
      </c>
      <c r="EV28">
        <v>4</v>
      </c>
      <c r="EW28">
        <v>0</v>
      </c>
      <c r="EX28">
        <v>0</v>
      </c>
      <c r="EY28">
        <v>0</v>
      </c>
      <c r="EZ28">
        <v>2011</v>
      </c>
      <c r="FA28">
        <v>2011</v>
      </c>
      <c r="FB28">
        <v>20</v>
      </c>
      <c r="FC28">
        <v>59</v>
      </c>
      <c r="FD28" t="s">
        <v>322</v>
      </c>
    </row>
    <row r="29" spans="1:160" x14ac:dyDescent="0.25">
      <c r="A29">
        <v>13136444</v>
      </c>
      <c r="B29" t="s">
        <v>141</v>
      </c>
      <c r="C29" t="s">
        <v>141</v>
      </c>
      <c r="D29" t="s">
        <v>141</v>
      </c>
      <c r="E29" t="s">
        <v>141</v>
      </c>
      <c r="F29" t="s">
        <v>141</v>
      </c>
      <c r="G29" t="s">
        <v>141</v>
      </c>
      <c r="H29" t="s">
        <v>141</v>
      </c>
      <c r="I29" s="99">
        <v>41268</v>
      </c>
      <c r="J29" s="98">
        <v>0</v>
      </c>
      <c r="L29">
        <v>20</v>
      </c>
      <c r="M29">
        <v>1585</v>
      </c>
      <c r="N29" t="s">
        <v>142</v>
      </c>
      <c r="O29" t="s">
        <v>142</v>
      </c>
      <c r="P29">
        <v>29.540779990000001</v>
      </c>
      <c r="Q29">
        <v>-95.414379999999994</v>
      </c>
      <c r="R29">
        <v>15</v>
      </c>
      <c r="S29">
        <v>59</v>
      </c>
      <c r="U29">
        <v>1</v>
      </c>
      <c r="X29" t="s">
        <v>322</v>
      </c>
      <c r="Z29" t="s">
        <v>141</v>
      </c>
      <c r="AA29" t="s">
        <v>141</v>
      </c>
      <c r="AB29">
        <v>45</v>
      </c>
      <c r="AC29" t="s">
        <v>141</v>
      </c>
      <c r="AD29" t="s">
        <v>141</v>
      </c>
      <c r="AE29" t="s">
        <v>141</v>
      </c>
      <c r="AF29">
        <v>15</v>
      </c>
      <c r="AG29">
        <v>48</v>
      </c>
      <c r="AL29" t="s">
        <v>322</v>
      </c>
      <c r="AS29">
        <v>12</v>
      </c>
      <c r="AT29">
        <v>3</v>
      </c>
      <c r="AU29">
        <v>0</v>
      </c>
      <c r="AW29">
        <v>1</v>
      </c>
      <c r="AX29">
        <v>2</v>
      </c>
      <c r="AY29">
        <v>11</v>
      </c>
      <c r="AZ29">
        <v>10000</v>
      </c>
      <c r="BA29">
        <v>8</v>
      </c>
      <c r="BB29">
        <v>7</v>
      </c>
      <c r="BC29">
        <v>4</v>
      </c>
      <c r="BD29">
        <v>1</v>
      </c>
      <c r="BE29">
        <v>62</v>
      </c>
      <c r="BF29">
        <v>54</v>
      </c>
      <c r="BG29">
        <v>1</v>
      </c>
      <c r="BH29">
        <v>4</v>
      </c>
      <c r="BI29">
        <v>2</v>
      </c>
      <c r="BJ29">
        <v>21</v>
      </c>
      <c r="BK29">
        <v>21</v>
      </c>
      <c r="BL29">
        <v>20</v>
      </c>
      <c r="BM29">
        <v>1585</v>
      </c>
      <c r="BN29">
        <v>29.54080592</v>
      </c>
      <c r="BO29">
        <v>-95.414380679999994</v>
      </c>
      <c r="BT29" t="s">
        <v>337</v>
      </c>
      <c r="BU29">
        <v>1814</v>
      </c>
      <c r="CD29" t="s">
        <v>321</v>
      </c>
      <c r="CI29" t="s">
        <v>142</v>
      </c>
      <c r="CJ29" t="s">
        <v>141</v>
      </c>
      <c r="CK29" t="s">
        <v>142</v>
      </c>
      <c r="CL29">
        <v>5</v>
      </c>
      <c r="CM29">
        <v>0</v>
      </c>
      <c r="CN29" t="s">
        <v>142</v>
      </c>
      <c r="CO29" t="s">
        <v>326</v>
      </c>
      <c r="ES29">
        <v>0</v>
      </c>
      <c r="ET29">
        <v>0</v>
      </c>
      <c r="EU29">
        <v>0</v>
      </c>
      <c r="EV29">
        <v>3</v>
      </c>
      <c r="EW29">
        <v>0</v>
      </c>
      <c r="EX29">
        <v>0</v>
      </c>
      <c r="EY29">
        <v>0</v>
      </c>
      <c r="EZ29">
        <v>2012</v>
      </c>
      <c r="FA29">
        <v>2012</v>
      </c>
      <c r="FB29">
        <v>20</v>
      </c>
      <c r="FC29">
        <v>59</v>
      </c>
      <c r="FD29" t="s">
        <v>322</v>
      </c>
    </row>
    <row r="30" spans="1:160" x14ac:dyDescent="0.25">
      <c r="A30">
        <v>13073942</v>
      </c>
      <c r="B30" t="s">
        <v>141</v>
      </c>
      <c r="C30" t="s">
        <v>141</v>
      </c>
      <c r="D30" t="s">
        <v>141</v>
      </c>
      <c r="E30" t="s">
        <v>141</v>
      </c>
      <c r="F30" t="s">
        <v>141</v>
      </c>
      <c r="G30" t="s">
        <v>141</v>
      </c>
      <c r="H30" t="s">
        <v>141</v>
      </c>
      <c r="I30" s="99">
        <v>41255</v>
      </c>
      <c r="J30" s="98">
        <v>0.28125</v>
      </c>
      <c r="L30">
        <v>20</v>
      </c>
      <c r="M30">
        <v>1585</v>
      </c>
      <c r="N30" t="s">
        <v>142</v>
      </c>
      <c r="O30" t="s">
        <v>142</v>
      </c>
      <c r="P30">
        <v>29.541</v>
      </c>
      <c r="Q30">
        <v>-95.408000000000001</v>
      </c>
      <c r="R30">
        <v>15</v>
      </c>
      <c r="S30">
        <v>59</v>
      </c>
      <c r="U30">
        <v>1</v>
      </c>
      <c r="V30">
        <v>12000</v>
      </c>
      <c r="X30" t="s">
        <v>322</v>
      </c>
      <c r="Z30" t="s">
        <v>141</v>
      </c>
      <c r="AA30" t="s">
        <v>141</v>
      </c>
      <c r="AB30">
        <v>45</v>
      </c>
      <c r="AC30" t="s">
        <v>141</v>
      </c>
      <c r="AD30" t="s">
        <v>141</v>
      </c>
      <c r="AE30" t="s">
        <v>141</v>
      </c>
      <c r="AF30">
        <v>15</v>
      </c>
      <c r="AG30">
        <v>48</v>
      </c>
      <c r="AL30" t="s">
        <v>322</v>
      </c>
      <c r="AS30">
        <v>11</v>
      </c>
      <c r="AT30">
        <v>2</v>
      </c>
      <c r="AU30">
        <v>0</v>
      </c>
      <c r="AW30">
        <v>1</v>
      </c>
      <c r="AX30">
        <v>1</v>
      </c>
      <c r="AY30">
        <v>1</v>
      </c>
      <c r="AZ30">
        <v>10000</v>
      </c>
      <c r="BA30">
        <v>8</v>
      </c>
      <c r="BB30">
        <v>2</v>
      </c>
      <c r="BC30">
        <v>4</v>
      </c>
      <c r="BD30">
        <v>30</v>
      </c>
      <c r="BE30">
        <v>64</v>
      </c>
      <c r="BF30">
        <v>54</v>
      </c>
      <c r="BG30">
        <v>1</v>
      </c>
      <c r="BH30">
        <v>4</v>
      </c>
      <c r="BI30">
        <v>1</v>
      </c>
      <c r="BJ30">
        <v>21</v>
      </c>
      <c r="BK30">
        <v>21</v>
      </c>
      <c r="BL30">
        <v>20</v>
      </c>
      <c r="BM30">
        <v>1585</v>
      </c>
      <c r="BN30">
        <v>29.540935449999999</v>
      </c>
      <c r="BO30">
        <v>-95.4079981</v>
      </c>
      <c r="BT30" t="s">
        <v>337</v>
      </c>
      <c r="BU30">
        <v>2043</v>
      </c>
      <c r="CD30" t="s">
        <v>321</v>
      </c>
      <c r="CI30" t="s">
        <v>142</v>
      </c>
      <c r="CJ30" t="s">
        <v>141</v>
      </c>
      <c r="CK30" t="s">
        <v>142</v>
      </c>
      <c r="CL30">
        <v>5</v>
      </c>
      <c r="CM30">
        <v>0</v>
      </c>
      <c r="CN30" t="s">
        <v>142</v>
      </c>
      <c r="CO30" t="s">
        <v>327</v>
      </c>
      <c r="ES30">
        <v>0</v>
      </c>
      <c r="ET30">
        <v>0</v>
      </c>
      <c r="EU30">
        <v>0</v>
      </c>
      <c r="EV30">
        <v>2</v>
      </c>
      <c r="EW30">
        <v>0</v>
      </c>
      <c r="EX30">
        <v>0</v>
      </c>
      <c r="EY30">
        <v>0</v>
      </c>
      <c r="EZ30">
        <v>2012</v>
      </c>
      <c r="FA30">
        <v>2012</v>
      </c>
      <c r="FB30">
        <v>20</v>
      </c>
      <c r="FC30">
        <v>59</v>
      </c>
      <c r="FD30" t="s">
        <v>322</v>
      </c>
    </row>
    <row r="31" spans="1:160" x14ac:dyDescent="0.25">
      <c r="A31">
        <v>11882193</v>
      </c>
      <c r="B31" t="s">
        <v>141</v>
      </c>
      <c r="C31" t="s">
        <v>141</v>
      </c>
      <c r="D31" t="s">
        <v>141</v>
      </c>
      <c r="E31" t="s">
        <v>141</v>
      </c>
      <c r="F31" t="s">
        <v>141</v>
      </c>
      <c r="G31" t="s">
        <v>141</v>
      </c>
      <c r="H31" t="s">
        <v>141</v>
      </c>
      <c r="I31" s="99">
        <v>40560</v>
      </c>
      <c r="J31" s="98">
        <v>0.69652777777777775</v>
      </c>
      <c r="L31">
        <v>20</v>
      </c>
      <c r="M31">
        <v>1585</v>
      </c>
      <c r="N31" t="s">
        <v>142</v>
      </c>
      <c r="O31" t="s">
        <v>142</v>
      </c>
      <c r="P31">
        <v>29.540579999999999</v>
      </c>
      <c r="Q31">
        <v>-95.421729999999997</v>
      </c>
      <c r="R31">
        <v>15</v>
      </c>
      <c r="S31">
        <v>59</v>
      </c>
      <c r="U31">
        <v>1</v>
      </c>
      <c r="X31" t="s">
        <v>322</v>
      </c>
      <c r="Z31" t="s">
        <v>141</v>
      </c>
      <c r="AA31" t="s">
        <v>141</v>
      </c>
      <c r="AB31">
        <v>45</v>
      </c>
      <c r="AC31" t="s">
        <v>141</v>
      </c>
      <c r="AD31" t="s">
        <v>141</v>
      </c>
      <c r="AE31" t="s">
        <v>141</v>
      </c>
      <c r="AF31">
        <v>15</v>
      </c>
      <c r="AG31">
        <v>48</v>
      </c>
      <c r="AL31" t="s">
        <v>322</v>
      </c>
      <c r="AS31">
        <v>11</v>
      </c>
      <c r="AT31">
        <v>1</v>
      </c>
      <c r="AU31">
        <v>0</v>
      </c>
      <c r="AW31">
        <v>1</v>
      </c>
      <c r="AX31">
        <v>1</v>
      </c>
      <c r="AY31">
        <v>11</v>
      </c>
      <c r="AZ31">
        <v>10000</v>
      </c>
      <c r="BA31">
        <v>8</v>
      </c>
      <c r="BB31">
        <v>2</v>
      </c>
      <c r="BC31">
        <v>3</v>
      </c>
      <c r="BD31">
        <v>24</v>
      </c>
      <c r="BE31">
        <v>64</v>
      </c>
      <c r="BF31">
        <v>13</v>
      </c>
      <c r="BG31">
        <v>1</v>
      </c>
      <c r="BH31">
        <v>4</v>
      </c>
      <c r="BI31">
        <v>1</v>
      </c>
      <c r="BJ31">
        <v>32</v>
      </c>
      <c r="BK31">
        <v>21</v>
      </c>
      <c r="BL31">
        <v>20</v>
      </c>
      <c r="BM31">
        <v>1585</v>
      </c>
      <c r="BN31">
        <v>29.540617940000001</v>
      </c>
      <c r="BO31">
        <v>-95.421731030000004</v>
      </c>
      <c r="BT31" t="s">
        <v>354</v>
      </c>
      <c r="BU31">
        <v>1493</v>
      </c>
      <c r="CD31" t="s">
        <v>321</v>
      </c>
      <c r="CI31" t="s">
        <v>142</v>
      </c>
      <c r="CJ31" t="s">
        <v>141</v>
      </c>
      <c r="CK31" t="s">
        <v>142</v>
      </c>
      <c r="CL31">
        <v>3</v>
      </c>
      <c r="CM31">
        <v>0</v>
      </c>
      <c r="CN31" t="s">
        <v>142</v>
      </c>
      <c r="CO31" t="s">
        <v>140</v>
      </c>
      <c r="ES31">
        <v>0</v>
      </c>
      <c r="ET31">
        <v>0</v>
      </c>
      <c r="EU31">
        <v>5</v>
      </c>
      <c r="EV31">
        <v>6</v>
      </c>
      <c r="EW31">
        <v>0</v>
      </c>
      <c r="EX31">
        <v>5</v>
      </c>
      <c r="EY31">
        <v>0</v>
      </c>
      <c r="EZ31">
        <v>2011</v>
      </c>
      <c r="FA31">
        <v>2011</v>
      </c>
      <c r="FB31">
        <v>20</v>
      </c>
      <c r="FC31">
        <v>59</v>
      </c>
      <c r="FD31" t="s">
        <v>322</v>
      </c>
    </row>
    <row r="32" spans="1:160" x14ac:dyDescent="0.25">
      <c r="A32">
        <v>13033718</v>
      </c>
      <c r="B32" t="s">
        <v>141</v>
      </c>
      <c r="C32" t="s">
        <v>141</v>
      </c>
      <c r="D32" t="s">
        <v>141</v>
      </c>
      <c r="E32" t="s">
        <v>141</v>
      </c>
      <c r="F32" t="s">
        <v>141</v>
      </c>
      <c r="G32" t="s">
        <v>141</v>
      </c>
      <c r="H32" t="s">
        <v>141</v>
      </c>
      <c r="I32" s="99">
        <v>41210</v>
      </c>
      <c r="J32" s="98">
        <v>0.85416666666666663</v>
      </c>
      <c r="L32">
        <v>20</v>
      </c>
      <c r="M32">
        <v>1585</v>
      </c>
      <c r="N32" t="s">
        <v>142</v>
      </c>
      <c r="O32" t="s">
        <v>142</v>
      </c>
      <c r="P32">
        <v>29.54072</v>
      </c>
      <c r="Q32">
        <v>-95.419430000000006</v>
      </c>
      <c r="R32">
        <v>15</v>
      </c>
      <c r="S32">
        <v>59</v>
      </c>
      <c r="U32">
        <v>1</v>
      </c>
      <c r="X32" t="s">
        <v>322</v>
      </c>
      <c r="Z32" t="s">
        <v>141</v>
      </c>
      <c r="AA32" t="s">
        <v>141</v>
      </c>
      <c r="AB32">
        <v>45</v>
      </c>
      <c r="AC32" t="s">
        <v>141</v>
      </c>
      <c r="AD32" t="s">
        <v>141</v>
      </c>
      <c r="AE32" t="s">
        <v>141</v>
      </c>
      <c r="AF32">
        <v>15</v>
      </c>
      <c r="AG32">
        <v>48</v>
      </c>
      <c r="AL32" t="s">
        <v>322</v>
      </c>
      <c r="AS32">
        <v>11</v>
      </c>
      <c r="AT32">
        <v>3</v>
      </c>
      <c r="AU32">
        <v>0</v>
      </c>
      <c r="AW32">
        <v>1</v>
      </c>
      <c r="AX32">
        <v>1</v>
      </c>
      <c r="AY32">
        <v>1</v>
      </c>
      <c r="AZ32">
        <v>10000</v>
      </c>
      <c r="BA32">
        <v>8</v>
      </c>
      <c r="BB32">
        <v>2</v>
      </c>
      <c r="BC32">
        <v>3</v>
      </c>
      <c r="BD32">
        <v>11</v>
      </c>
      <c r="BE32">
        <v>64</v>
      </c>
      <c r="BF32">
        <v>14</v>
      </c>
      <c r="BG32">
        <v>1</v>
      </c>
      <c r="BH32">
        <v>4</v>
      </c>
      <c r="BI32">
        <v>1</v>
      </c>
      <c r="BJ32">
        <v>32</v>
      </c>
      <c r="BK32">
        <v>21</v>
      </c>
      <c r="BL32">
        <v>20</v>
      </c>
      <c r="BM32">
        <v>1585</v>
      </c>
      <c r="BN32">
        <v>29.540680500000001</v>
      </c>
      <c r="BO32">
        <v>-95.419428929999995</v>
      </c>
      <c r="BT32" t="s">
        <v>354</v>
      </c>
      <c r="BU32">
        <v>1643</v>
      </c>
      <c r="CD32" t="s">
        <v>321</v>
      </c>
      <c r="CI32" t="s">
        <v>142</v>
      </c>
      <c r="CJ32" t="s">
        <v>141</v>
      </c>
      <c r="CK32" t="s">
        <v>142</v>
      </c>
      <c r="CL32">
        <v>3</v>
      </c>
      <c r="CM32">
        <v>0</v>
      </c>
      <c r="CN32" t="s">
        <v>142</v>
      </c>
      <c r="CO32" t="s">
        <v>324</v>
      </c>
      <c r="ES32">
        <v>0</v>
      </c>
      <c r="ET32">
        <v>0</v>
      </c>
      <c r="EU32">
        <v>1</v>
      </c>
      <c r="EV32">
        <v>3</v>
      </c>
      <c r="EW32">
        <v>0</v>
      </c>
      <c r="EX32">
        <v>1</v>
      </c>
      <c r="EY32">
        <v>0</v>
      </c>
      <c r="EZ32">
        <v>2012</v>
      </c>
      <c r="FA32">
        <v>2012</v>
      </c>
      <c r="FB32">
        <v>20</v>
      </c>
      <c r="FC32">
        <v>59</v>
      </c>
      <c r="FD32" t="s">
        <v>322</v>
      </c>
    </row>
    <row r="33" spans="1:160" x14ac:dyDescent="0.25">
      <c r="A33">
        <v>12407749</v>
      </c>
      <c r="B33" t="s">
        <v>141</v>
      </c>
      <c r="C33" t="s">
        <v>141</v>
      </c>
      <c r="D33" t="s">
        <v>141</v>
      </c>
      <c r="E33" t="s">
        <v>141</v>
      </c>
      <c r="F33" t="s">
        <v>141</v>
      </c>
      <c r="G33" t="s">
        <v>141</v>
      </c>
      <c r="H33" t="s">
        <v>141</v>
      </c>
      <c r="I33" s="99">
        <v>40844</v>
      </c>
      <c r="J33" s="98">
        <v>0.23124999999999998</v>
      </c>
      <c r="K33" t="s">
        <v>355</v>
      </c>
      <c r="L33">
        <v>20</v>
      </c>
      <c r="M33">
        <v>1585</v>
      </c>
      <c r="N33" t="s">
        <v>142</v>
      </c>
      <c r="O33" t="s">
        <v>142</v>
      </c>
      <c r="R33">
        <v>15</v>
      </c>
      <c r="S33">
        <v>59</v>
      </c>
      <c r="U33">
        <v>1</v>
      </c>
      <c r="X33" t="s">
        <v>322</v>
      </c>
      <c r="Z33" t="s">
        <v>141</v>
      </c>
      <c r="AA33" t="s">
        <v>141</v>
      </c>
      <c r="AB33">
        <v>45</v>
      </c>
      <c r="AC33" t="s">
        <v>141</v>
      </c>
      <c r="AD33" t="s">
        <v>141</v>
      </c>
      <c r="AE33" t="s">
        <v>141</v>
      </c>
      <c r="AF33">
        <v>15</v>
      </c>
      <c r="AG33">
        <v>48</v>
      </c>
      <c r="AL33" t="s">
        <v>322</v>
      </c>
      <c r="AS33">
        <v>11</v>
      </c>
      <c r="AT33">
        <v>3</v>
      </c>
      <c r="AU33">
        <v>0</v>
      </c>
      <c r="AW33">
        <v>2</v>
      </c>
      <c r="AX33">
        <v>1</v>
      </c>
      <c r="AY33">
        <v>1</v>
      </c>
      <c r="AZ33">
        <v>148</v>
      </c>
      <c r="BA33">
        <v>8</v>
      </c>
      <c r="BB33">
        <v>10</v>
      </c>
      <c r="BC33">
        <v>4</v>
      </c>
      <c r="BD33">
        <v>1</v>
      </c>
      <c r="BE33">
        <v>1</v>
      </c>
      <c r="BF33">
        <v>54</v>
      </c>
      <c r="BG33">
        <v>1</v>
      </c>
      <c r="BH33">
        <v>4</v>
      </c>
      <c r="BI33">
        <v>2</v>
      </c>
      <c r="BJ33">
        <v>21</v>
      </c>
      <c r="BK33">
        <v>21</v>
      </c>
      <c r="BL33">
        <v>20</v>
      </c>
      <c r="BM33">
        <v>1585</v>
      </c>
      <c r="BT33" t="s">
        <v>340</v>
      </c>
      <c r="CD33" t="s">
        <v>321</v>
      </c>
      <c r="CI33" t="s">
        <v>142</v>
      </c>
      <c r="CJ33" t="s">
        <v>141</v>
      </c>
      <c r="CK33" t="s">
        <v>142</v>
      </c>
      <c r="CL33">
        <v>2</v>
      </c>
      <c r="CM33">
        <v>0</v>
      </c>
      <c r="CN33" t="s">
        <v>141</v>
      </c>
      <c r="CO33" t="s">
        <v>329</v>
      </c>
      <c r="ES33">
        <v>0</v>
      </c>
      <c r="ET33">
        <v>2</v>
      </c>
      <c r="EU33">
        <v>0</v>
      </c>
      <c r="EV33">
        <v>0</v>
      </c>
      <c r="EW33">
        <v>0</v>
      </c>
      <c r="EX33">
        <v>2</v>
      </c>
      <c r="EY33">
        <v>0</v>
      </c>
      <c r="EZ33">
        <v>2011</v>
      </c>
      <c r="FA33">
        <v>2011</v>
      </c>
      <c r="FB33">
        <v>20</v>
      </c>
      <c r="FC33">
        <v>59</v>
      </c>
      <c r="FD33" t="s">
        <v>322</v>
      </c>
    </row>
    <row r="34" spans="1:160" x14ac:dyDescent="0.25">
      <c r="A34">
        <v>12921800</v>
      </c>
      <c r="B34" t="s">
        <v>141</v>
      </c>
      <c r="C34" t="s">
        <v>141</v>
      </c>
      <c r="D34" t="s">
        <v>141</v>
      </c>
      <c r="E34" t="s">
        <v>141</v>
      </c>
      <c r="F34" t="s">
        <v>141</v>
      </c>
      <c r="G34" t="s">
        <v>141</v>
      </c>
      <c r="H34" t="s">
        <v>141</v>
      </c>
      <c r="I34" s="99">
        <v>41155</v>
      </c>
      <c r="J34" s="98">
        <v>0.79166666666666663</v>
      </c>
      <c r="L34">
        <v>20</v>
      </c>
      <c r="M34">
        <v>1585</v>
      </c>
      <c r="N34" t="s">
        <v>142</v>
      </c>
      <c r="O34" t="s">
        <v>142</v>
      </c>
      <c r="P34">
        <v>29.540800000000001</v>
      </c>
      <c r="Q34">
        <v>-95.414749999999998</v>
      </c>
      <c r="R34">
        <v>15</v>
      </c>
      <c r="S34">
        <v>59</v>
      </c>
      <c r="U34">
        <v>1</v>
      </c>
      <c r="X34" t="s">
        <v>322</v>
      </c>
      <c r="Z34" t="s">
        <v>141</v>
      </c>
      <c r="AA34" t="s">
        <v>141</v>
      </c>
      <c r="AB34">
        <v>45</v>
      </c>
      <c r="AC34" t="s">
        <v>141</v>
      </c>
      <c r="AD34" t="s">
        <v>141</v>
      </c>
      <c r="AE34" t="s">
        <v>141</v>
      </c>
      <c r="AF34">
        <v>15</v>
      </c>
      <c r="AG34">
        <v>48</v>
      </c>
      <c r="AL34" t="s">
        <v>322</v>
      </c>
      <c r="AS34">
        <v>11</v>
      </c>
      <c r="AT34">
        <v>1</v>
      </c>
      <c r="AU34">
        <v>0</v>
      </c>
      <c r="AW34">
        <v>1</v>
      </c>
      <c r="AX34">
        <v>1</v>
      </c>
      <c r="AY34">
        <v>11</v>
      </c>
      <c r="AZ34">
        <v>10000</v>
      </c>
      <c r="BA34">
        <v>8</v>
      </c>
      <c r="BB34">
        <v>2</v>
      </c>
      <c r="BC34">
        <v>4</v>
      </c>
      <c r="BD34">
        <v>20</v>
      </c>
      <c r="BE34">
        <v>64</v>
      </c>
      <c r="BF34">
        <v>42</v>
      </c>
      <c r="BG34">
        <v>1</v>
      </c>
      <c r="BH34">
        <v>4</v>
      </c>
      <c r="BI34">
        <v>1</v>
      </c>
      <c r="BJ34">
        <v>21</v>
      </c>
      <c r="BK34">
        <v>21</v>
      </c>
      <c r="BL34">
        <v>20</v>
      </c>
      <c r="BM34">
        <v>1585</v>
      </c>
      <c r="BN34">
        <v>29.540796189999998</v>
      </c>
      <c r="BO34">
        <v>-95.414749900000004</v>
      </c>
      <c r="BT34" t="s">
        <v>337</v>
      </c>
      <c r="BU34">
        <v>1799</v>
      </c>
      <c r="CD34" t="s">
        <v>321</v>
      </c>
      <c r="CI34" t="s">
        <v>142</v>
      </c>
      <c r="CJ34" t="s">
        <v>141</v>
      </c>
      <c r="CK34" t="s">
        <v>142</v>
      </c>
      <c r="CL34">
        <v>5</v>
      </c>
      <c r="CM34">
        <v>0</v>
      </c>
      <c r="CN34" t="s">
        <v>142</v>
      </c>
      <c r="CO34" t="s">
        <v>140</v>
      </c>
      <c r="ES34">
        <v>0</v>
      </c>
      <c r="ET34">
        <v>0</v>
      </c>
      <c r="EU34">
        <v>0</v>
      </c>
      <c r="EV34">
        <v>2</v>
      </c>
      <c r="EW34">
        <v>0</v>
      </c>
      <c r="EX34">
        <v>0</v>
      </c>
      <c r="EY34">
        <v>0</v>
      </c>
      <c r="EZ34">
        <v>2012</v>
      </c>
      <c r="FA34">
        <v>2012</v>
      </c>
      <c r="FB34">
        <v>20</v>
      </c>
      <c r="FC34">
        <v>59</v>
      </c>
      <c r="FD34" t="s">
        <v>322</v>
      </c>
    </row>
    <row r="35" spans="1:160" x14ac:dyDescent="0.25">
      <c r="A35">
        <v>11715927</v>
      </c>
      <c r="B35" t="s">
        <v>141</v>
      </c>
      <c r="C35" t="s">
        <v>141</v>
      </c>
      <c r="D35" t="s">
        <v>141</v>
      </c>
      <c r="E35" t="s">
        <v>141</v>
      </c>
      <c r="F35" t="s">
        <v>141</v>
      </c>
      <c r="G35" t="s">
        <v>141</v>
      </c>
      <c r="H35" t="s">
        <v>141</v>
      </c>
      <c r="I35" s="99">
        <v>40457</v>
      </c>
      <c r="J35" s="98">
        <v>0.57638888888888895</v>
      </c>
      <c r="L35">
        <v>20</v>
      </c>
      <c r="M35">
        <v>1585</v>
      </c>
      <c r="N35" t="s">
        <v>142</v>
      </c>
      <c r="O35" t="s">
        <v>142</v>
      </c>
      <c r="P35">
        <v>29.54044</v>
      </c>
      <c r="Q35">
        <v>-95.42783</v>
      </c>
      <c r="R35">
        <v>15</v>
      </c>
      <c r="S35">
        <v>59</v>
      </c>
      <c r="U35">
        <v>1</v>
      </c>
      <c r="X35" t="s">
        <v>322</v>
      </c>
      <c r="Z35" t="s">
        <v>141</v>
      </c>
      <c r="AA35" t="s">
        <v>141</v>
      </c>
      <c r="AB35">
        <v>45</v>
      </c>
      <c r="AC35" t="s">
        <v>141</v>
      </c>
      <c r="AD35" t="s">
        <v>141</v>
      </c>
      <c r="AE35" t="s">
        <v>141</v>
      </c>
      <c r="AF35">
        <v>15</v>
      </c>
      <c r="AG35">
        <v>48</v>
      </c>
      <c r="AL35" t="s">
        <v>322</v>
      </c>
      <c r="AS35">
        <v>11</v>
      </c>
      <c r="AT35">
        <v>1</v>
      </c>
      <c r="AU35">
        <v>0</v>
      </c>
      <c r="AW35">
        <v>1</v>
      </c>
      <c r="AX35">
        <v>1</v>
      </c>
      <c r="AY35">
        <v>11</v>
      </c>
      <c r="AZ35">
        <v>10000</v>
      </c>
      <c r="BA35">
        <v>8</v>
      </c>
      <c r="BB35">
        <v>7</v>
      </c>
      <c r="BC35">
        <v>4</v>
      </c>
      <c r="BD35">
        <v>1</v>
      </c>
      <c r="BE35">
        <v>22</v>
      </c>
      <c r="BF35">
        <v>54</v>
      </c>
      <c r="BG35">
        <v>1</v>
      </c>
      <c r="BH35">
        <v>4</v>
      </c>
      <c r="BI35">
        <v>2</v>
      </c>
      <c r="BJ35">
        <v>21</v>
      </c>
      <c r="BK35">
        <v>21</v>
      </c>
      <c r="BL35">
        <v>20</v>
      </c>
      <c r="BM35">
        <v>1585</v>
      </c>
      <c r="BN35">
        <v>29.54046954</v>
      </c>
      <c r="BO35">
        <v>-95.427830729999997</v>
      </c>
      <c r="BT35" t="s">
        <v>354</v>
      </c>
      <c r="BU35">
        <v>1246</v>
      </c>
      <c r="CD35" t="s">
        <v>321</v>
      </c>
      <c r="CI35" t="s">
        <v>142</v>
      </c>
      <c r="CJ35" t="s">
        <v>141</v>
      </c>
      <c r="CK35" t="s">
        <v>142</v>
      </c>
      <c r="CL35">
        <v>5</v>
      </c>
      <c r="CM35">
        <v>0</v>
      </c>
      <c r="CN35" t="s">
        <v>142</v>
      </c>
      <c r="CO35" t="s">
        <v>327</v>
      </c>
      <c r="ES35">
        <v>0</v>
      </c>
      <c r="ET35">
        <v>0</v>
      </c>
      <c r="EU35">
        <v>0</v>
      </c>
      <c r="EV35">
        <v>1</v>
      </c>
      <c r="EW35">
        <v>0</v>
      </c>
      <c r="EX35">
        <v>0</v>
      </c>
      <c r="EY35">
        <v>0</v>
      </c>
      <c r="EZ35">
        <v>2010</v>
      </c>
      <c r="FA35">
        <v>2010</v>
      </c>
      <c r="FB35">
        <v>20</v>
      </c>
      <c r="FC35">
        <v>59</v>
      </c>
      <c r="FD35" t="s">
        <v>322</v>
      </c>
    </row>
    <row r="36" spans="1:160" x14ac:dyDescent="0.25">
      <c r="A36">
        <v>13308532</v>
      </c>
      <c r="B36" t="s">
        <v>141</v>
      </c>
      <c r="C36" t="s">
        <v>141</v>
      </c>
      <c r="D36" t="s">
        <v>141</v>
      </c>
      <c r="E36" t="s">
        <v>141</v>
      </c>
      <c r="F36" t="s">
        <v>141</v>
      </c>
      <c r="G36" t="s">
        <v>141</v>
      </c>
      <c r="H36" t="s">
        <v>141</v>
      </c>
      <c r="I36" s="99">
        <v>41417</v>
      </c>
      <c r="J36" s="98">
        <v>0.86805555555555547</v>
      </c>
      <c r="L36">
        <v>20</v>
      </c>
      <c r="M36">
        <v>1585</v>
      </c>
      <c r="N36" t="s">
        <v>142</v>
      </c>
      <c r="O36" t="s">
        <v>142</v>
      </c>
      <c r="P36">
        <v>29.540800000000001</v>
      </c>
      <c r="Q36">
        <v>-95.414990000000003</v>
      </c>
      <c r="R36">
        <v>15</v>
      </c>
      <c r="S36">
        <v>59</v>
      </c>
      <c r="U36">
        <v>1</v>
      </c>
      <c r="X36" t="s">
        <v>322</v>
      </c>
      <c r="Z36" t="s">
        <v>141</v>
      </c>
      <c r="AA36" t="s">
        <v>141</v>
      </c>
      <c r="AB36">
        <v>45</v>
      </c>
      <c r="AC36" t="s">
        <v>141</v>
      </c>
      <c r="AD36" t="s">
        <v>141</v>
      </c>
      <c r="AE36" t="s">
        <v>141</v>
      </c>
      <c r="AF36">
        <v>15</v>
      </c>
      <c r="AG36">
        <v>48</v>
      </c>
      <c r="AL36" t="s">
        <v>322</v>
      </c>
      <c r="AS36">
        <v>11</v>
      </c>
      <c r="AT36">
        <v>3</v>
      </c>
      <c r="AU36">
        <v>0</v>
      </c>
      <c r="AW36">
        <v>1</v>
      </c>
      <c r="AX36">
        <v>1</v>
      </c>
      <c r="AY36">
        <v>11</v>
      </c>
      <c r="AZ36">
        <v>10000</v>
      </c>
      <c r="BA36">
        <v>8</v>
      </c>
      <c r="BB36">
        <v>2</v>
      </c>
      <c r="BC36">
        <v>3</v>
      </c>
      <c r="BD36">
        <v>24</v>
      </c>
      <c r="BE36">
        <v>64</v>
      </c>
      <c r="BF36">
        <v>13</v>
      </c>
      <c r="BG36">
        <v>1</v>
      </c>
      <c r="BH36">
        <v>4</v>
      </c>
      <c r="BI36">
        <v>1</v>
      </c>
      <c r="BJ36">
        <v>32</v>
      </c>
      <c r="BK36">
        <v>21</v>
      </c>
      <c r="BL36">
        <v>20</v>
      </c>
      <c r="BM36">
        <v>1585</v>
      </c>
      <c r="BN36">
        <v>29.54078986</v>
      </c>
      <c r="BO36">
        <v>-95.414989730000002</v>
      </c>
      <c r="BT36" t="s">
        <v>337</v>
      </c>
      <c r="BU36">
        <v>1789</v>
      </c>
      <c r="CD36" t="s">
        <v>321</v>
      </c>
      <c r="CI36" t="s">
        <v>142</v>
      </c>
      <c r="CJ36" t="s">
        <v>141</v>
      </c>
      <c r="CK36" t="s">
        <v>142</v>
      </c>
      <c r="CL36">
        <v>5</v>
      </c>
      <c r="CM36">
        <v>0</v>
      </c>
      <c r="CN36" t="s">
        <v>142</v>
      </c>
      <c r="CO36" t="s">
        <v>328</v>
      </c>
      <c r="ES36">
        <v>0</v>
      </c>
      <c r="ET36">
        <v>0</v>
      </c>
      <c r="EU36">
        <v>0</v>
      </c>
      <c r="EV36">
        <v>5</v>
      </c>
      <c r="EW36">
        <v>0</v>
      </c>
      <c r="EX36">
        <v>0</v>
      </c>
      <c r="EY36">
        <v>0</v>
      </c>
      <c r="EZ36">
        <v>2013</v>
      </c>
      <c r="FA36">
        <v>2013</v>
      </c>
      <c r="FB36">
        <v>20</v>
      </c>
      <c r="FC36">
        <v>59</v>
      </c>
      <c r="FD36" t="s">
        <v>322</v>
      </c>
    </row>
    <row r="37" spans="1:160" x14ac:dyDescent="0.25">
      <c r="A37">
        <v>12303944</v>
      </c>
      <c r="B37" t="s">
        <v>141</v>
      </c>
      <c r="C37" t="s">
        <v>141</v>
      </c>
      <c r="D37" t="s">
        <v>141</v>
      </c>
      <c r="E37" t="s">
        <v>141</v>
      </c>
      <c r="F37" t="s">
        <v>141</v>
      </c>
      <c r="G37" t="s">
        <v>141</v>
      </c>
      <c r="H37" t="s">
        <v>141</v>
      </c>
      <c r="I37" s="99">
        <v>40782</v>
      </c>
      <c r="J37" s="98">
        <v>0.51041666666666663</v>
      </c>
      <c r="L37">
        <v>20</v>
      </c>
      <c r="M37">
        <v>1585</v>
      </c>
      <c r="N37" t="s">
        <v>142</v>
      </c>
      <c r="O37" t="s">
        <v>142</v>
      </c>
      <c r="P37">
        <v>29.540749999999999</v>
      </c>
      <c r="Q37">
        <v>-95.417000000000002</v>
      </c>
      <c r="R37">
        <v>15</v>
      </c>
      <c r="S37">
        <v>59</v>
      </c>
      <c r="U37">
        <v>1</v>
      </c>
      <c r="X37" t="s">
        <v>322</v>
      </c>
      <c r="Z37" t="s">
        <v>141</v>
      </c>
      <c r="AA37" t="s">
        <v>141</v>
      </c>
      <c r="AB37">
        <v>45</v>
      </c>
      <c r="AC37" t="s">
        <v>141</v>
      </c>
      <c r="AD37" t="s">
        <v>141</v>
      </c>
      <c r="AE37" t="s">
        <v>142</v>
      </c>
      <c r="AF37">
        <v>15</v>
      </c>
      <c r="AG37">
        <v>48</v>
      </c>
      <c r="AI37">
        <v>1</v>
      </c>
      <c r="AL37" t="s">
        <v>322</v>
      </c>
      <c r="AS37">
        <v>11</v>
      </c>
      <c r="AT37">
        <v>1</v>
      </c>
      <c r="AU37">
        <v>4</v>
      </c>
      <c r="AW37">
        <v>1</v>
      </c>
      <c r="AX37">
        <v>1</v>
      </c>
      <c r="AY37">
        <v>8</v>
      </c>
      <c r="AZ37">
        <v>10000</v>
      </c>
      <c r="BA37">
        <v>8</v>
      </c>
      <c r="BB37">
        <v>2</v>
      </c>
      <c r="BC37">
        <v>1</v>
      </c>
      <c r="BD37">
        <v>10</v>
      </c>
      <c r="BE37">
        <v>64</v>
      </c>
      <c r="BF37">
        <v>54</v>
      </c>
      <c r="BG37">
        <v>1</v>
      </c>
      <c r="BH37">
        <v>4</v>
      </c>
      <c r="BI37">
        <v>1</v>
      </c>
      <c r="BJ37">
        <v>21</v>
      </c>
      <c r="BK37">
        <v>21</v>
      </c>
      <c r="BL37">
        <v>20</v>
      </c>
      <c r="BM37">
        <v>1585</v>
      </c>
      <c r="BN37">
        <v>29.540737239999999</v>
      </c>
      <c r="BO37">
        <v>-95.416999689999997</v>
      </c>
      <c r="BT37" t="s">
        <v>337</v>
      </c>
      <c r="BU37">
        <v>1703</v>
      </c>
      <c r="CD37" t="s">
        <v>323</v>
      </c>
      <c r="CI37" t="s">
        <v>142</v>
      </c>
      <c r="CJ37" t="s">
        <v>141</v>
      </c>
      <c r="CK37" t="s">
        <v>142</v>
      </c>
      <c r="CL37">
        <v>5</v>
      </c>
      <c r="CM37">
        <v>0</v>
      </c>
      <c r="CN37" t="s">
        <v>142</v>
      </c>
      <c r="CO37" t="s">
        <v>144</v>
      </c>
      <c r="ES37">
        <v>0</v>
      </c>
      <c r="ET37">
        <v>0</v>
      </c>
      <c r="EU37">
        <v>0</v>
      </c>
      <c r="EV37">
        <v>3</v>
      </c>
      <c r="EW37">
        <v>0</v>
      </c>
      <c r="EX37">
        <v>0</v>
      </c>
      <c r="EY37">
        <v>0</v>
      </c>
      <c r="EZ37">
        <v>2011</v>
      </c>
      <c r="FA37">
        <v>2011</v>
      </c>
      <c r="FB37">
        <v>20</v>
      </c>
      <c r="FC37">
        <v>59</v>
      </c>
      <c r="FD37" t="s">
        <v>322</v>
      </c>
    </row>
    <row r="38" spans="1:160" x14ac:dyDescent="0.25">
      <c r="A38">
        <v>12297632</v>
      </c>
      <c r="B38" t="s">
        <v>141</v>
      </c>
      <c r="C38" t="s">
        <v>141</v>
      </c>
      <c r="D38" t="s">
        <v>141</v>
      </c>
      <c r="E38" t="s">
        <v>141</v>
      </c>
      <c r="F38" t="s">
        <v>141</v>
      </c>
      <c r="G38" t="s">
        <v>142</v>
      </c>
      <c r="H38" t="s">
        <v>141</v>
      </c>
      <c r="I38" s="99">
        <v>40431</v>
      </c>
      <c r="J38" s="98">
        <v>0.89513888888888893</v>
      </c>
      <c r="L38">
        <v>20</v>
      </c>
      <c r="M38">
        <v>1585</v>
      </c>
      <c r="N38" t="s">
        <v>142</v>
      </c>
      <c r="O38" t="s">
        <v>142</v>
      </c>
      <c r="P38">
        <v>29.540769999999998</v>
      </c>
      <c r="Q38">
        <v>-95.416780000000003</v>
      </c>
      <c r="R38">
        <v>15</v>
      </c>
      <c r="S38">
        <v>59</v>
      </c>
      <c r="U38">
        <v>1</v>
      </c>
      <c r="X38" t="s">
        <v>322</v>
      </c>
      <c r="Z38" t="s">
        <v>141</v>
      </c>
      <c r="AA38" t="s">
        <v>141</v>
      </c>
      <c r="AB38">
        <v>40</v>
      </c>
      <c r="AC38" t="s">
        <v>141</v>
      </c>
      <c r="AD38" t="s">
        <v>141</v>
      </c>
      <c r="AE38" t="s">
        <v>142</v>
      </c>
      <c r="AF38">
        <v>15</v>
      </c>
      <c r="AG38">
        <v>48</v>
      </c>
      <c r="AI38">
        <v>1</v>
      </c>
      <c r="AL38" t="s">
        <v>322</v>
      </c>
      <c r="AS38">
        <v>11</v>
      </c>
      <c r="AT38">
        <v>3</v>
      </c>
      <c r="AU38">
        <v>4</v>
      </c>
      <c r="AW38">
        <v>1</v>
      </c>
      <c r="AX38">
        <v>1</v>
      </c>
      <c r="AY38">
        <v>8</v>
      </c>
      <c r="AZ38">
        <v>10000</v>
      </c>
      <c r="BA38">
        <v>8</v>
      </c>
      <c r="BB38">
        <v>2</v>
      </c>
      <c r="BC38">
        <v>1</v>
      </c>
      <c r="BD38">
        <v>34</v>
      </c>
      <c r="BE38">
        <v>64</v>
      </c>
      <c r="BF38">
        <v>54</v>
      </c>
      <c r="BG38">
        <v>1</v>
      </c>
      <c r="BH38">
        <v>4</v>
      </c>
      <c r="BI38">
        <v>1</v>
      </c>
      <c r="BJ38">
        <v>21</v>
      </c>
      <c r="BK38">
        <v>21</v>
      </c>
      <c r="BL38">
        <v>20</v>
      </c>
      <c r="BM38">
        <v>1585</v>
      </c>
      <c r="BN38">
        <v>29.540742649999999</v>
      </c>
      <c r="BO38">
        <v>-95.416779329999997</v>
      </c>
      <c r="BT38" t="s">
        <v>337</v>
      </c>
      <c r="BU38">
        <v>1712</v>
      </c>
      <c r="CD38" t="s">
        <v>323</v>
      </c>
      <c r="CI38" t="s">
        <v>142</v>
      </c>
      <c r="CJ38" t="s">
        <v>141</v>
      </c>
      <c r="CK38" t="s">
        <v>142</v>
      </c>
      <c r="CL38">
        <v>2</v>
      </c>
      <c r="CM38">
        <v>0</v>
      </c>
      <c r="CN38" t="s">
        <v>142</v>
      </c>
      <c r="CO38" t="s">
        <v>329</v>
      </c>
      <c r="ES38">
        <v>0</v>
      </c>
      <c r="ET38">
        <v>1</v>
      </c>
      <c r="EU38">
        <v>1</v>
      </c>
      <c r="EV38">
        <v>1</v>
      </c>
      <c r="EW38">
        <v>0</v>
      </c>
      <c r="EX38">
        <v>2</v>
      </c>
      <c r="EY38">
        <v>0</v>
      </c>
      <c r="EZ38">
        <v>2010</v>
      </c>
      <c r="FA38">
        <v>2010</v>
      </c>
      <c r="FB38">
        <v>20</v>
      </c>
      <c r="FC38">
        <v>59</v>
      </c>
      <c r="FD38" t="s">
        <v>322</v>
      </c>
    </row>
    <row r="39" spans="1:160" x14ac:dyDescent="0.25">
      <c r="A39">
        <v>13247092</v>
      </c>
      <c r="B39" t="s">
        <v>141</v>
      </c>
      <c r="C39" t="s">
        <v>141</v>
      </c>
      <c r="D39" t="s">
        <v>141</v>
      </c>
      <c r="E39" t="s">
        <v>141</v>
      </c>
      <c r="F39" t="s">
        <v>141</v>
      </c>
      <c r="G39" t="s">
        <v>141</v>
      </c>
      <c r="H39" t="s">
        <v>141</v>
      </c>
      <c r="I39" s="99">
        <v>41377</v>
      </c>
      <c r="J39" s="98">
        <v>0.44791666666666669</v>
      </c>
      <c r="L39">
        <v>20</v>
      </c>
      <c r="M39">
        <v>1585</v>
      </c>
      <c r="N39" t="s">
        <v>142</v>
      </c>
      <c r="O39" t="s">
        <v>142</v>
      </c>
      <c r="P39">
        <v>29.540849999999999</v>
      </c>
      <c r="Q39">
        <v>-95.412000000000006</v>
      </c>
      <c r="R39">
        <v>15</v>
      </c>
      <c r="S39">
        <v>59</v>
      </c>
      <c r="U39">
        <v>1</v>
      </c>
      <c r="X39" t="s">
        <v>322</v>
      </c>
      <c r="Z39" t="s">
        <v>141</v>
      </c>
      <c r="AA39" t="s">
        <v>141</v>
      </c>
      <c r="AB39">
        <v>45</v>
      </c>
      <c r="AC39" t="s">
        <v>141</v>
      </c>
      <c r="AD39" t="s">
        <v>141</v>
      </c>
      <c r="AE39" t="s">
        <v>141</v>
      </c>
      <c r="AF39">
        <v>15</v>
      </c>
      <c r="AG39">
        <v>48</v>
      </c>
      <c r="AL39" t="s">
        <v>322</v>
      </c>
      <c r="AS39">
        <v>11</v>
      </c>
      <c r="AT39">
        <v>1</v>
      </c>
      <c r="AU39">
        <v>0</v>
      </c>
      <c r="AW39">
        <v>1</v>
      </c>
      <c r="AX39">
        <v>1</v>
      </c>
      <c r="AY39">
        <v>20</v>
      </c>
      <c r="AZ39">
        <v>10000</v>
      </c>
      <c r="BA39">
        <v>8</v>
      </c>
      <c r="BB39">
        <v>2</v>
      </c>
      <c r="BC39">
        <v>4</v>
      </c>
      <c r="BD39">
        <v>20</v>
      </c>
      <c r="BE39">
        <v>64</v>
      </c>
      <c r="BF39">
        <v>54</v>
      </c>
      <c r="BG39">
        <v>1</v>
      </c>
      <c r="BH39">
        <v>4</v>
      </c>
      <c r="BI39">
        <v>1</v>
      </c>
      <c r="BJ39">
        <v>21</v>
      </c>
      <c r="BK39">
        <v>21</v>
      </c>
      <c r="BL39">
        <v>20</v>
      </c>
      <c r="BM39">
        <v>1585</v>
      </c>
      <c r="BN39">
        <v>29.540854320000001</v>
      </c>
      <c r="BO39">
        <v>-95.412000079999999</v>
      </c>
      <c r="BT39" t="s">
        <v>337</v>
      </c>
      <c r="BU39">
        <v>1909</v>
      </c>
      <c r="CD39" t="s">
        <v>321</v>
      </c>
      <c r="CI39" t="s">
        <v>142</v>
      </c>
      <c r="CJ39" t="s">
        <v>141</v>
      </c>
      <c r="CK39" t="s">
        <v>142</v>
      </c>
      <c r="CL39">
        <v>3</v>
      </c>
      <c r="CM39">
        <v>0</v>
      </c>
      <c r="CN39" t="s">
        <v>142</v>
      </c>
      <c r="CO39" t="s">
        <v>144</v>
      </c>
      <c r="ES39">
        <v>0</v>
      </c>
      <c r="ET39">
        <v>0</v>
      </c>
      <c r="EU39">
        <v>3</v>
      </c>
      <c r="EV39">
        <v>0</v>
      </c>
      <c r="EW39">
        <v>0</v>
      </c>
      <c r="EX39">
        <v>3</v>
      </c>
      <c r="EY39">
        <v>0</v>
      </c>
      <c r="EZ39">
        <v>2013</v>
      </c>
      <c r="FA39">
        <v>2013</v>
      </c>
      <c r="FB39">
        <v>20</v>
      </c>
      <c r="FC39">
        <v>59</v>
      </c>
      <c r="FD39" t="s">
        <v>322</v>
      </c>
    </row>
    <row r="40" spans="1:160" x14ac:dyDescent="0.25">
      <c r="A40">
        <v>12145717</v>
      </c>
      <c r="B40" t="s">
        <v>141</v>
      </c>
      <c r="C40" t="s">
        <v>141</v>
      </c>
      <c r="D40" t="s">
        <v>141</v>
      </c>
      <c r="E40" t="s">
        <v>141</v>
      </c>
      <c r="F40" t="s">
        <v>141</v>
      </c>
      <c r="G40" t="s">
        <v>141</v>
      </c>
      <c r="H40" t="s">
        <v>141</v>
      </c>
      <c r="I40" s="99">
        <v>40698</v>
      </c>
      <c r="J40" s="98">
        <v>0.875</v>
      </c>
      <c r="L40">
        <v>20</v>
      </c>
      <c r="M40">
        <v>1585</v>
      </c>
      <c r="N40" t="s">
        <v>142</v>
      </c>
      <c r="O40" t="s">
        <v>142</v>
      </c>
      <c r="P40">
        <v>29.540749999999999</v>
      </c>
      <c r="Q40">
        <v>-95.417050000000003</v>
      </c>
      <c r="R40">
        <v>15</v>
      </c>
      <c r="S40">
        <v>59</v>
      </c>
      <c r="U40">
        <v>1</v>
      </c>
      <c r="X40" t="s">
        <v>322</v>
      </c>
      <c r="Z40" t="s">
        <v>141</v>
      </c>
      <c r="AA40" t="s">
        <v>141</v>
      </c>
      <c r="AB40">
        <v>45</v>
      </c>
      <c r="AC40" t="s">
        <v>141</v>
      </c>
      <c r="AD40" t="s">
        <v>141</v>
      </c>
      <c r="AE40" t="s">
        <v>142</v>
      </c>
      <c r="AF40">
        <v>15</v>
      </c>
      <c r="AG40">
        <v>48</v>
      </c>
      <c r="AI40">
        <v>1</v>
      </c>
      <c r="AL40" t="s">
        <v>322</v>
      </c>
      <c r="AS40">
        <v>11</v>
      </c>
      <c r="AT40">
        <v>3</v>
      </c>
      <c r="AU40">
        <v>4</v>
      </c>
      <c r="AW40">
        <v>1</v>
      </c>
      <c r="AX40">
        <v>1</v>
      </c>
      <c r="AY40">
        <v>8</v>
      </c>
      <c r="AZ40">
        <v>10000</v>
      </c>
      <c r="BA40">
        <v>8</v>
      </c>
      <c r="BB40">
        <v>2</v>
      </c>
      <c r="BC40">
        <v>1</v>
      </c>
      <c r="BD40">
        <v>10</v>
      </c>
      <c r="BE40">
        <v>64</v>
      </c>
      <c r="BF40">
        <v>54</v>
      </c>
      <c r="BG40">
        <v>1</v>
      </c>
      <c r="BH40">
        <v>4</v>
      </c>
      <c r="BI40">
        <v>1</v>
      </c>
      <c r="BJ40">
        <v>21</v>
      </c>
      <c r="BK40">
        <v>21</v>
      </c>
      <c r="BL40">
        <v>20</v>
      </c>
      <c r="BM40">
        <v>1585</v>
      </c>
      <c r="BN40">
        <v>29.540749989999998</v>
      </c>
      <c r="BO40">
        <v>-95.41705039</v>
      </c>
      <c r="BT40" t="s">
        <v>352</v>
      </c>
      <c r="BU40">
        <v>3197</v>
      </c>
      <c r="CD40" t="s">
        <v>323</v>
      </c>
      <c r="CI40" t="s">
        <v>142</v>
      </c>
      <c r="CJ40" t="s">
        <v>141</v>
      </c>
      <c r="CK40" t="s">
        <v>142</v>
      </c>
      <c r="CL40">
        <v>5</v>
      </c>
      <c r="CM40">
        <v>0</v>
      </c>
      <c r="CN40" t="s">
        <v>142</v>
      </c>
      <c r="CO40" t="s">
        <v>144</v>
      </c>
      <c r="ES40">
        <v>0</v>
      </c>
      <c r="ET40">
        <v>0</v>
      </c>
      <c r="EU40">
        <v>0</v>
      </c>
      <c r="EV40">
        <v>9</v>
      </c>
      <c r="EW40">
        <v>0</v>
      </c>
      <c r="EX40">
        <v>0</v>
      </c>
      <c r="EY40">
        <v>0</v>
      </c>
      <c r="EZ40">
        <v>2011</v>
      </c>
      <c r="FA40">
        <v>2011</v>
      </c>
      <c r="FB40">
        <v>20</v>
      </c>
      <c r="FC40">
        <v>59</v>
      </c>
      <c r="FD40" t="s">
        <v>322</v>
      </c>
    </row>
    <row r="41" spans="1:160" x14ac:dyDescent="0.25">
      <c r="A41">
        <v>13191638</v>
      </c>
      <c r="B41" t="s">
        <v>141</v>
      </c>
      <c r="C41" t="s">
        <v>141</v>
      </c>
      <c r="D41" t="s">
        <v>141</v>
      </c>
      <c r="E41" t="s">
        <v>141</v>
      </c>
      <c r="F41" t="s">
        <v>141</v>
      </c>
      <c r="G41" t="s">
        <v>141</v>
      </c>
      <c r="H41" t="s">
        <v>141</v>
      </c>
      <c r="I41" s="99">
        <v>41355</v>
      </c>
      <c r="J41" s="98">
        <v>0.22916666666666666</v>
      </c>
      <c r="K41" t="s">
        <v>356</v>
      </c>
      <c r="L41">
        <v>20</v>
      </c>
      <c r="M41">
        <v>1585</v>
      </c>
      <c r="N41" t="s">
        <v>142</v>
      </c>
      <c r="O41" t="s">
        <v>142</v>
      </c>
      <c r="R41">
        <v>15</v>
      </c>
      <c r="S41">
        <v>59</v>
      </c>
      <c r="U41">
        <v>7</v>
      </c>
      <c r="X41" t="s">
        <v>322</v>
      </c>
      <c r="Z41" t="s">
        <v>141</v>
      </c>
      <c r="AA41" t="s">
        <v>141</v>
      </c>
      <c r="AB41">
        <v>35</v>
      </c>
      <c r="AC41" t="s">
        <v>141</v>
      </c>
      <c r="AD41" t="s">
        <v>141</v>
      </c>
      <c r="AE41" t="s">
        <v>141</v>
      </c>
      <c r="AF41">
        <v>15</v>
      </c>
      <c r="AG41">
        <v>48</v>
      </c>
      <c r="AL41" t="s">
        <v>322</v>
      </c>
      <c r="AS41">
        <v>11</v>
      </c>
      <c r="AT41">
        <v>3</v>
      </c>
      <c r="AU41">
        <v>2</v>
      </c>
      <c r="AW41">
        <v>1</v>
      </c>
      <c r="AX41">
        <v>1</v>
      </c>
      <c r="AY41">
        <v>20</v>
      </c>
      <c r="AZ41">
        <v>151</v>
      </c>
      <c r="BA41">
        <v>8</v>
      </c>
      <c r="BB41">
        <v>7</v>
      </c>
      <c r="BC41">
        <v>4</v>
      </c>
      <c r="BD41">
        <v>1</v>
      </c>
      <c r="BE41">
        <v>33</v>
      </c>
      <c r="BF41">
        <v>3</v>
      </c>
      <c r="BG41">
        <v>1</v>
      </c>
      <c r="BH41">
        <v>4</v>
      </c>
      <c r="BI41">
        <v>2</v>
      </c>
      <c r="BJ41">
        <v>21</v>
      </c>
      <c r="BK41">
        <v>21</v>
      </c>
      <c r="BL41">
        <v>20</v>
      </c>
      <c r="BM41">
        <v>1585</v>
      </c>
      <c r="BT41" t="s">
        <v>340</v>
      </c>
      <c r="CD41" t="s">
        <v>321</v>
      </c>
      <c r="CI41" t="s">
        <v>142</v>
      </c>
      <c r="CJ41" t="s">
        <v>141</v>
      </c>
      <c r="CK41" t="s">
        <v>142</v>
      </c>
      <c r="CL41">
        <v>0</v>
      </c>
      <c r="CM41">
        <v>0</v>
      </c>
      <c r="CN41" t="s">
        <v>141</v>
      </c>
      <c r="CO41" t="s">
        <v>329</v>
      </c>
      <c r="ES41">
        <v>0</v>
      </c>
      <c r="ET41">
        <v>0</v>
      </c>
      <c r="EU41">
        <v>0</v>
      </c>
      <c r="EV41">
        <v>0</v>
      </c>
      <c r="EW41">
        <v>0</v>
      </c>
      <c r="EX41">
        <v>0</v>
      </c>
      <c r="EY41">
        <v>0</v>
      </c>
      <c r="EZ41">
        <v>2013</v>
      </c>
      <c r="FA41">
        <v>2013</v>
      </c>
      <c r="FB41">
        <v>20</v>
      </c>
      <c r="FC41">
        <v>59</v>
      </c>
      <c r="FD41" t="s">
        <v>322</v>
      </c>
    </row>
    <row r="42" spans="1:160" x14ac:dyDescent="0.25">
      <c r="A42">
        <v>12412648</v>
      </c>
      <c r="B42" t="s">
        <v>141</v>
      </c>
      <c r="C42" t="s">
        <v>141</v>
      </c>
      <c r="D42" t="s">
        <v>141</v>
      </c>
      <c r="E42" t="s">
        <v>141</v>
      </c>
      <c r="F42" t="s">
        <v>141</v>
      </c>
      <c r="G42" t="s">
        <v>141</v>
      </c>
      <c r="H42" t="s">
        <v>141</v>
      </c>
      <c r="I42" s="99">
        <v>40811</v>
      </c>
      <c r="J42" s="98">
        <v>0.87361111111111101</v>
      </c>
      <c r="L42">
        <v>20</v>
      </c>
      <c r="M42">
        <v>1585</v>
      </c>
      <c r="N42" t="s">
        <v>142</v>
      </c>
      <c r="O42" t="s">
        <v>142</v>
      </c>
      <c r="P42">
        <v>29.47297</v>
      </c>
      <c r="Q42">
        <v>-95.370050000000006</v>
      </c>
      <c r="R42">
        <v>15</v>
      </c>
      <c r="S42">
        <v>59</v>
      </c>
      <c r="U42">
        <v>1</v>
      </c>
      <c r="X42" t="s">
        <v>322</v>
      </c>
      <c r="Z42" t="s">
        <v>141</v>
      </c>
      <c r="AA42" t="s">
        <v>141</v>
      </c>
      <c r="AB42">
        <v>45</v>
      </c>
      <c r="AC42" t="s">
        <v>141</v>
      </c>
      <c r="AD42" t="s">
        <v>141</v>
      </c>
      <c r="AE42" t="s">
        <v>141</v>
      </c>
      <c r="AF42">
        <v>15</v>
      </c>
      <c r="AG42" t="s">
        <v>357</v>
      </c>
      <c r="AL42" t="s">
        <v>322</v>
      </c>
      <c r="AS42">
        <v>11</v>
      </c>
      <c r="AT42">
        <v>3</v>
      </c>
      <c r="AU42">
        <v>0</v>
      </c>
      <c r="AW42">
        <v>1</v>
      </c>
      <c r="AX42">
        <v>1</v>
      </c>
      <c r="AY42">
        <v>11</v>
      </c>
      <c r="AZ42">
        <v>10000</v>
      </c>
      <c r="BA42">
        <v>8</v>
      </c>
      <c r="BB42">
        <v>2</v>
      </c>
      <c r="BC42">
        <v>4</v>
      </c>
      <c r="BD42">
        <v>30</v>
      </c>
      <c r="BE42">
        <v>64</v>
      </c>
      <c r="BF42">
        <v>54</v>
      </c>
      <c r="BG42">
        <v>1</v>
      </c>
      <c r="BH42">
        <v>2</v>
      </c>
      <c r="BI42">
        <v>1</v>
      </c>
      <c r="BJ42">
        <v>21</v>
      </c>
      <c r="BK42">
        <v>21</v>
      </c>
      <c r="BL42">
        <v>20</v>
      </c>
      <c r="BM42">
        <v>1585</v>
      </c>
      <c r="BT42" t="s">
        <v>340</v>
      </c>
      <c r="CD42" t="s">
        <v>321</v>
      </c>
      <c r="CI42" t="s">
        <v>142</v>
      </c>
      <c r="CJ42" t="s">
        <v>141</v>
      </c>
      <c r="CK42" t="s">
        <v>142</v>
      </c>
      <c r="CL42">
        <v>5</v>
      </c>
      <c r="CM42">
        <v>0</v>
      </c>
      <c r="CN42" t="s">
        <v>141</v>
      </c>
      <c r="CO42" t="s">
        <v>324</v>
      </c>
      <c r="ES42">
        <v>0</v>
      </c>
      <c r="ET42">
        <v>0</v>
      </c>
      <c r="EU42">
        <v>0</v>
      </c>
      <c r="EV42">
        <v>6</v>
      </c>
      <c r="EW42">
        <v>0</v>
      </c>
      <c r="EX42">
        <v>0</v>
      </c>
      <c r="EY42">
        <v>0</v>
      </c>
      <c r="EZ42">
        <v>2011</v>
      </c>
      <c r="FA42">
        <v>2011</v>
      </c>
      <c r="FB42">
        <v>20</v>
      </c>
      <c r="FC42">
        <v>59</v>
      </c>
      <c r="FD42" t="s">
        <v>322</v>
      </c>
    </row>
    <row r="43" spans="1:160" x14ac:dyDescent="0.25">
      <c r="A43">
        <v>13040767</v>
      </c>
      <c r="B43" t="s">
        <v>141</v>
      </c>
      <c r="C43" t="s">
        <v>141</v>
      </c>
      <c r="D43" t="s">
        <v>141</v>
      </c>
      <c r="E43" t="s">
        <v>141</v>
      </c>
      <c r="F43" t="s">
        <v>141</v>
      </c>
      <c r="G43" t="s">
        <v>141</v>
      </c>
      <c r="H43" t="s">
        <v>141</v>
      </c>
      <c r="I43" s="99">
        <v>41257</v>
      </c>
      <c r="J43" s="98">
        <v>0.77083333333333337</v>
      </c>
      <c r="K43" t="s">
        <v>358</v>
      </c>
      <c r="L43">
        <v>20</v>
      </c>
      <c r="M43">
        <v>326</v>
      </c>
      <c r="N43" t="s">
        <v>141</v>
      </c>
      <c r="O43" t="s">
        <v>142</v>
      </c>
      <c r="R43">
        <v>15</v>
      </c>
      <c r="S43">
        <v>48</v>
      </c>
      <c r="U43">
        <v>1</v>
      </c>
      <c r="X43" t="s">
        <v>359</v>
      </c>
      <c r="Z43" t="s">
        <v>141</v>
      </c>
      <c r="AA43" t="s">
        <v>141</v>
      </c>
      <c r="AB43">
        <v>35</v>
      </c>
      <c r="AC43" t="s">
        <v>141</v>
      </c>
      <c r="AD43" t="s">
        <v>141</v>
      </c>
      <c r="AE43" t="s">
        <v>142</v>
      </c>
      <c r="AF43">
        <v>15</v>
      </c>
      <c r="AG43">
        <v>59</v>
      </c>
      <c r="AI43">
        <v>1</v>
      </c>
      <c r="AL43" t="s">
        <v>345</v>
      </c>
      <c r="AS43">
        <v>11</v>
      </c>
      <c r="AT43">
        <v>3</v>
      </c>
      <c r="AU43">
        <v>4</v>
      </c>
      <c r="AW43">
        <v>1</v>
      </c>
      <c r="AX43">
        <v>1</v>
      </c>
      <c r="AY43">
        <v>8</v>
      </c>
      <c r="AZ43">
        <v>1917</v>
      </c>
      <c r="BA43">
        <v>8</v>
      </c>
      <c r="BB43">
        <v>2</v>
      </c>
      <c r="BC43">
        <v>1</v>
      </c>
      <c r="BD43">
        <v>10</v>
      </c>
      <c r="BE43">
        <v>64</v>
      </c>
      <c r="BF43">
        <v>54</v>
      </c>
      <c r="BG43">
        <v>1</v>
      </c>
      <c r="BH43">
        <v>4</v>
      </c>
      <c r="BI43">
        <v>1</v>
      </c>
      <c r="BJ43">
        <v>21</v>
      </c>
      <c r="BK43">
        <v>21</v>
      </c>
      <c r="BL43">
        <v>20</v>
      </c>
      <c r="BM43">
        <v>1585</v>
      </c>
      <c r="BN43">
        <v>29.540735999999999</v>
      </c>
      <c r="BO43">
        <v>-95.417050000000003</v>
      </c>
      <c r="BT43" t="s">
        <v>359</v>
      </c>
      <c r="BU43">
        <v>3198</v>
      </c>
      <c r="CD43" t="s">
        <v>340</v>
      </c>
      <c r="CI43" t="s">
        <v>142</v>
      </c>
      <c r="CJ43" t="s">
        <v>141</v>
      </c>
      <c r="CK43" t="s">
        <v>142</v>
      </c>
      <c r="CL43">
        <v>5</v>
      </c>
      <c r="CM43">
        <v>0</v>
      </c>
      <c r="CN43" t="s">
        <v>142</v>
      </c>
      <c r="CO43" t="s">
        <v>329</v>
      </c>
      <c r="ES43">
        <v>0</v>
      </c>
      <c r="ET43">
        <v>0</v>
      </c>
      <c r="EU43">
        <v>0</v>
      </c>
      <c r="EV43">
        <v>3</v>
      </c>
      <c r="EW43">
        <v>0</v>
      </c>
      <c r="EX43">
        <v>0</v>
      </c>
      <c r="EY43">
        <v>0</v>
      </c>
      <c r="EZ43">
        <v>2012</v>
      </c>
      <c r="FA43">
        <v>2012</v>
      </c>
      <c r="FB43">
        <v>20</v>
      </c>
      <c r="FC43">
        <v>48</v>
      </c>
      <c r="FD43" t="s">
        <v>359</v>
      </c>
    </row>
    <row r="44" spans="1:160" x14ac:dyDescent="0.25">
      <c r="A44">
        <v>13633558</v>
      </c>
      <c r="B44" t="s">
        <v>141</v>
      </c>
      <c r="C44" t="s">
        <v>141</v>
      </c>
      <c r="D44" t="s">
        <v>141</v>
      </c>
      <c r="E44" t="s">
        <v>141</v>
      </c>
      <c r="F44" t="s">
        <v>141</v>
      </c>
      <c r="G44" t="s">
        <v>141</v>
      </c>
      <c r="H44" t="s">
        <v>141</v>
      </c>
      <c r="I44" s="99">
        <v>41627</v>
      </c>
      <c r="J44" s="98">
        <v>0.68194444444444446</v>
      </c>
      <c r="K44" t="s">
        <v>360</v>
      </c>
      <c r="L44">
        <v>20</v>
      </c>
      <c r="M44">
        <v>326</v>
      </c>
      <c r="N44" t="s">
        <v>141</v>
      </c>
      <c r="O44" t="s">
        <v>142</v>
      </c>
      <c r="R44">
        <v>15</v>
      </c>
      <c r="S44">
        <v>48</v>
      </c>
      <c r="U44">
        <v>1</v>
      </c>
      <c r="V44">
        <v>3200</v>
      </c>
      <c r="X44" t="s">
        <v>361</v>
      </c>
      <c r="Z44" t="s">
        <v>141</v>
      </c>
      <c r="AA44" t="s">
        <v>141</v>
      </c>
      <c r="AB44">
        <v>45</v>
      </c>
      <c r="AC44" t="s">
        <v>141</v>
      </c>
      <c r="AD44" t="s">
        <v>141</v>
      </c>
      <c r="AE44" t="s">
        <v>142</v>
      </c>
      <c r="AF44">
        <v>15</v>
      </c>
      <c r="AG44">
        <v>59</v>
      </c>
      <c r="AI44">
        <v>1</v>
      </c>
      <c r="AJ44">
        <v>1800</v>
      </c>
      <c r="AL44" t="s">
        <v>344</v>
      </c>
      <c r="AS44">
        <v>12</v>
      </c>
      <c r="AT44">
        <v>1</v>
      </c>
      <c r="AU44">
        <v>0</v>
      </c>
      <c r="AW44">
        <v>1</v>
      </c>
      <c r="AX44">
        <v>1</v>
      </c>
      <c r="AY44">
        <v>8</v>
      </c>
      <c r="AZ44">
        <v>1917</v>
      </c>
      <c r="BA44">
        <v>8</v>
      </c>
      <c r="BB44">
        <v>2</v>
      </c>
      <c r="BC44">
        <v>1</v>
      </c>
      <c r="BD44">
        <v>10</v>
      </c>
      <c r="BE44">
        <v>64</v>
      </c>
      <c r="BF44">
        <v>54</v>
      </c>
      <c r="BG44">
        <v>1</v>
      </c>
      <c r="BH44">
        <v>4</v>
      </c>
      <c r="BI44">
        <v>1</v>
      </c>
      <c r="BJ44">
        <v>21</v>
      </c>
      <c r="BK44">
        <v>21</v>
      </c>
      <c r="BL44">
        <v>20</v>
      </c>
      <c r="BM44">
        <v>1585</v>
      </c>
      <c r="BN44">
        <v>29.540735999999999</v>
      </c>
      <c r="BO44">
        <v>-95.417050000000003</v>
      </c>
      <c r="BT44" t="s">
        <v>359</v>
      </c>
      <c r="BU44">
        <v>3198</v>
      </c>
      <c r="CD44" t="s">
        <v>340</v>
      </c>
      <c r="CI44" t="s">
        <v>142</v>
      </c>
      <c r="CJ44" t="s">
        <v>141</v>
      </c>
      <c r="CK44" t="s">
        <v>142</v>
      </c>
      <c r="CL44">
        <v>2</v>
      </c>
      <c r="CM44">
        <v>0</v>
      </c>
      <c r="CN44" t="s">
        <v>142</v>
      </c>
      <c r="CO44" t="s">
        <v>328</v>
      </c>
      <c r="ES44">
        <v>0</v>
      </c>
      <c r="ET44">
        <v>1</v>
      </c>
      <c r="EU44">
        <v>0</v>
      </c>
      <c r="EV44">
        <v>3</v>
      </c>
      <c r="EW44">
        <v>0</v>
      </c>
      <c r="EX44">
        <v>1</v>
      </c>
      <c r="EY44">
        <v>0</v>
      </c>
      <c r="EZ44">
        <v>2013</v>
      </c>
      <c r="FA44">
        <v>2013</v>
      </c>
      <c r="FB44">
        <v>20</v>
      </c>
      <c r="FC44">
        <v>48</v>
      </c>
      <c r="FD44" t="s">
        <v>361</v>
      </c>
    </row>
    <row r="45" spans="1:160" x14ac:dyDescent="0.25">
      <c r="A45">
        <v>11799948</v>
      </c>
      <c r="B45" t="s">
        <v>141</v>
      </c>
      <c r="C45" t="s">
        <v>141</v>
      </c>
      <c r="D45" t="s">
        <v>141</v>
      </c>
      <c r="E45" t="s">
        <v>141</v>
      </c>
      <c r="F45" t="s">
        <v>141</v>
      </c>
      <c r="G45" t="s">
        <v>141</v>
      </c>
      <c r="H45" t="s">
        <v>141</v>
      </c>
      <c r="I45" s="99">
        <v>40531</v>
      </c>
      <c r="J45" s="98">
        <v>0.51458333333333328</v>
      </c>
      <c r="K45" t="s">
        <v>362</v>
      </c>
      <c r="L45">
        <v>20</v>
      </c>
      <c r="M45">
        <v>326</v>
      </c>
      <c r="N45" t="s">
        <v>141</v>
      </c>
      <c r="O45" t="s">
        <v>142</v>
      </c>
      <c r="R45">
        <v>19</v>
      </c>
      <c r="U45">
        <v>1</v>
      </c>
      <c r="V45">
        <v>3700</v>
      </c>
      <c r="X45" t="s">
        <v>334</v>
      </c>
      <c r="Y45" t="s">
        <v>325</v>
      </c>
      <c r="Z45" t="s">
        <v>141</v>
      </c>
      <c r="AA45" t="s">
        <v>141</v>
      </c>
      <c r="AB45">
        <v>30</v>
      </c>
      <c r="AC45" t="s">
        <v>141</v>
      </c>
      <c r="AD45" t="s">
        <v>141</v>
      </c>
      <c r="AE45" t="s">
        <v>142</v>
      </c>
      <c r="AF45">
        <v>15</v>
      </c>
      <c r="AG45">
        <v>59</v>
      </c>
      <c r="AI45">
        <v>1</v>
      </c>
      <c r="AL45" t="s">
        <v>342</v>
      </c>
      <c r="AS45">
        <v>11</v>
      </c>
      <c r="AT45">
        <v>1</v>
      </c>
      <c r="AU45">
        <v>0</v>
      </c>
      <c r="AW45">
        <v>1</v>
      </c>
      <c r="AX45">
        <v>1</v>
      </c>
      <c r="AY45">
        <v>8</v>
      </c>
      <c r="AZ45">
        <v>1917</v>
      </c>
      <c r="BA45">
        <v>8</v>
      </c>
      <c r="BB45">
        <v>2</v>
      </c>
      <c r="BC45">
        <v>1</v>
      </c>
      <c r="BD45">
        <v>10</v>
      </c>
      <c r="BE45">
        <v>64</v>
      </c>
      <c r="BF45">
        <v>54</v>
      </c>
      <c r="BG45">
        <v>1</v>
      </c>
      <c r="BH45">
        <v>5</v>
      </c>
      <c r="BI45">
        <v>1</v>
      </c>
      <c r="BJ45">
        <v>21</v>
      </c>
      <c r="BK45">
        <v>21</v>
      </c>
      <c r="BL45">
        <v>20</v>
      </c>
      <c r="BM45">
        <v>326</v>
      </c>
      <c r="BT45" t="s">
        <v>335</v>
      </c>
      <c r="CD45" t="s">
        <v>340</v>
      </c>
      <c r="CI45" t="s">
        <v>142</v>
      </c>
      <c r="CJ45" t="s">
        <v>141</v>
      </c>
      <c r="CK45" t="s">
        <v>141</v>
      </c>
      <c r="CL45">
        <v>5</v>
      </c>
      <c r="CM45">
        <v>7</v>
      </c>
      <c r="CN45" t="s">
        <v>141</v>
      </c>
      <c r="CO45" t="s">
        <v>324</v>
      </c>
      <c r="ES45">
        <v>0</v>
      </c>
      <c r="ET45">
        <v>0</v>
      </c>
      <c r="EU45">
        <v>0</v>
      </c>
      <c r="EV45">
        <v>4</v>
      </c>
      <c r="EW45">
        <v>0</v>
      </c>
      <c r="EX45">
        <v>0</v>
      </c>
      <c r="EY45">
        <v>0</v>
      </c>
      <c r="EZ45">
        <v>2010</v>
      </c>
      <c r="FA45">
        <v>2010</v>
      </c>
      <c r="FB45">
        <v>20</v>
      </c>
      <c r="FD45" t="s">
        <v>334</v>
      </c>
    </row>
    <row r="46" spans="1:160" x14ac:dyDescent="0.25">
      <c r="A46">
        <v>12364483</v>
      </c>
      <c r="B46" t="s">
        <v>141</v>
      </c>
      <c r="C46" t="s">
        <v>141</v>
      </c>
      <c r="D46" t="s">
        <v>141</v>
      </c>
      <c r="E46" t="s">
        <v>141</v>
      </c>
      <c r="F46" t="s">
        <v>141</v>
      </c>
      <c r="G46" t="s">
        <v>141</v>
      </c>
      <c r="H46" t="s">
        <v>141</v>
      </c>
      <c r="I46" s="99">
        <v>40837</v>
      </c>
      <c r="J46" s="98">
        <v>0.74236111111111114</v>
      </c>
      <c r="K46" t="s">
        <v>363</v>
      </c>
      <c r="L46">
        <v>20</v>
      </c>
      <c r="M46">
        <v>326</v>
      </c>
      <c r="N46" t="s">
        <v>141</v>
      </c>
      <c r="O46" t="s">
        <v>142</v>
      </c>
      <c r="R46">
        <v>19</v>
      </c>
      <c r="U46">
        <v>1</v>
      </c>
      <c r="V46">
        <v>3400</v>
      </c>
      <c r="X46" t="s">
        <v>334</v>
      </c>
      <c r="Y46" t="s">
        <v>325</v>
      </c>
      <c r="Z46" t="s">
        <v>141</v>
      </c>
      <c r="AA46" t="s">
        <v>141</v>
      </c>
      <c r="AB46">
        <v>30</v>
      </c>
      <c r="AC46" t="s">
        <v>141</v>
      </c>
      <c r="AD46" t="s">
        <v>141</v>
      </c>
      <c r="AE46" t="s">
        <v>142</v>
      </c>
      <c r="AF46">
        <v>15</v>
      </c>
      <c r="AG46">
        <v>59</v>
      </c>
      <c r="AI46">
        <v>1</v>
      </c>
      <c r="AL46" t="s">
        <v>344</v>
      </c>
      <c r="AS46">
        <v>11</v>
      </c>
      <c r="AT46">
        <v>1</v>
      </c>
      <c r="AU46">
        <v>4</v>
      </c>
      <c r="AW46">
        <v>1</v>
      </c>
      <c r="AX46">
        <v>1</v>
      </c>
      <c r="AY46">
        <v>8</v>
      </c>
      <c r="AZ46">
        <v>1917</v>
      </c>
      <c r="BA46">
        <v>8</v>
      </c>
      <c r="BB46">
        <v>2</v>
      </c>
      <c r="BC46">
        <v>1</v>
      </c>
      <c r="BD46">
        <v>14</v>
      </c>
      <c r="BE46">
        <v>64</v>
      </c>
      <c r="BF46">
        <v>54</v>
      </c>
      <c r="BG46">
        <v>1</v>
      </c>
      <c r="BH46">
        <v>5</v>
      </c>
      <c r="BI46">
        <v>1</v>
      </c>
      <c r="BJ46">
        <v>21</v>
      </c>
      <c r="BK46">
        <v>21</v>
      </c>
      <c r="BL46">
        <v>20</v>
      </c>
      <c r="BM46">
        <v>1585</v>
      </c>
      <c r="BN46">
        <v>29.541131</v>
      </c>
      <c r="BO46">
        <v>-95.400355000000005</v>
      </c>
      <c r="BT46" t="s">
        <v>335</v>
      </c>
      <c r="CD46" t="s">
        <v>340</v>
      </c>
      <c r="CI46" t="s">
        <v>142</v>
      </c>
      <c r="CJ46" t="s">
        <v>141</v>
      </c>
      <c r="CK46" t="s">
        <v>142</v>
      </c>
      <c r="CL46">
        <v>5</v>
      </c>
      <c r="CM46">
        <v>0</v>
      </c>
      <c r="CN46" t="s">
        <v>142</v>
      </c>
      <c r="CO46" t="s">
        <v>329</v>
      </c>
      <c r="ES46">
        <v>0</v>
      </c>
      <c r="ET46">
        <v>0</v>
      </c>
      <c r="EU46">
        <v>0</v>
      </c>
      <c r="EV46">
        <v>2</v>
      </c>
      <c r="EW46">
        <v>0</v>
      </c>
      <c r="EX46">
        <v>0</v>
      </c>
      <c r="EY46">
        <v>0</v>
      </c>
      <c r="EZ46">
        <v>2011</v>
      </c>
      <c r="FA46">
        <v>2011</v>
      </c>
      <c r="FB46">
        <v>20</v>
      </c>
      <c r="FD46" t="s">
        <v>334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pageSetUpPr fitToPage="1"/>
  </sheetPr>
  <dimension ref="A3:S36"/>
  <sheetViews>
    <sheetView zoomScale="85" zoomScaleNormal="85" workbookViewId="0">
      <selection activeCell="S3" sqref="S3:S36"/>
    </sheetView>
  </sheetViews>
  <sheetFormatPr defaultRowHeight="15" x14ac:dyDescent="0.25"/>
  <cols>
    <col min="1" max="1" width="35" customWidth="1"/>
    <col min="2" max="2" width="12.5703125" customWidth="1"/>
    <col min="3" max="3" width="5.28515625" customWidth="1"/>
    <col min="4" max="4" width="25.5703125" customWidth="1"/>
    <col min="5" max="5" width="15.42578125" bestFit="1" customWidth="1"/>
    <col min="6" max="11" width="15.42578125" customWidth="1"/>
    <col min="12" max="12" width="4.5703125" customWidth="1"/>
    <col min="13" max="13" width="9.28515625" bestFit="1" customWidth="1"/>
    <col min="14" max="14" width="16.7109375" style="3" customWidth="1"/>
    <col min="15" max="15" width="16.85546875" style="81" bestFit="1" customWidth="1"/>
    <col min="16" max="16" width="11.42578125" style="84" bestFit="1" customWidth="1"/>
    <col min="17" max="17" width="34.42578125" bestFit="1" customWidth="1"/>
    <col min="18" max="18" width="18.7109375" customWidth="1"/>
    <col min="19" max="19" width="38.42578125" bestFit="1" customWidth="1"/>
  </cols>
  <sheetData>
    <row r="3" spans="1:19" x14ac:dyDescent="0.25">
      <c r="A3" s="22" t="s">
        <v>14</v>
      </c>
      <c r="D3" s="22" t="s">
        <v>28</v>
      </c>
      <c r="E3" s="32"/>
      <c r="M3" s="21" t="s">
        <v>26</v>
      </c>
      <c r="N3" s="77" t="s">
        <v>126</v>
      </c>
      <c r="O3" s="79" t="s">
        <v>27</v>
      </c>
      <c r="P3" s="82" t="s">
        <v>129</v>
      </c>
      <c r="Q3" s="21" t="s">
        <v>317</v>
      </c>
      <c r="R3" s="21" t="s">
        <v>125</v>
      </c>
      <c r="S3" s="21" t="s">
        <v>88</v>
      </c>
    </row>
    <row r="4" spans="1:19" x14ac:dyDescent="0.25">
      <c r="A4" s="23" t="s">
        <v>15</v>
      </c>
      <c r="B4" s="34">
        <v>2015</v>
      </c>
      <c r="D4" s="26" t="s">
        <v>116</v>
      </c>
      <c r="E4" s="64">
        <f>(_2025_Volume/_2018_Volume)^(1/(2025-2018))-1</f>
        <v>5.4876583154097602E-2</v>
      </c>
      <c r="M4" s="86">
        <v>2018</v>
      </c>
      <c r="N4" s="87" t="s">
        <v>131</v>
      </c>
      <c r="O4" s="88">
        <f>MIN(E7,1)</f>
        <v>0.5</v>
      </c>
      <c r="P4" s="89">
        <f>-(ROUNDUP(O4,0)-2)</f>
        <v>1</v>
      </c>
      <c r="Q4" s="109">
        <f>SUMPRODUCT(Possible_Crash_Reductions,Value_of_Statistical_Life_2015)</f>
        <v>397331.81196644664</v>
      </c>
      <c r="R4" s="94">
        <f t="shared" ref="R4:R36" si="0">IF(AND(M4&gt;=Year_Open_to_Traffic?,M4&lt;Year_Open_to_Traffic?+Years_to_include_in_BCA_Analysis),1,0)</f>
        <v>1</v>
      </c>
      <c r="S4" s="85">
        <f>(Q4*R4)/10^3</f>
        <v>397.33181196644665</v>
      </c>
    </row>
    <row r="5" spans="1:19" x14ac:dyDescent="0.25">
      <c r="A5" s="23" t="s">
        <v>89</v>
      </c>
      <c r="B5" s="23">
        <f>MIN(20,Service_Life)</f>
        <v>20</v>
      </c>
      <c r="D5" s="26" t="s">
        <v>117</v>
      </c>
      <c r="E5" s="64">
        <f>(_2040_Volume/_2025_Volume)^(1/(2040-2025))-1</f>
        <v>2.268495988716035E-2</v>
      </c>
      <c r="M5" s="20">
        <f t="shared" ref="M5:M36" si="1">M4+1</f>
        <v>2019</v>
      </c>
      <c r="N5" s="78">
        <f t="shared" ref="N5:N11" si="2">IF(ISERROR(_2025_2040_Demand_Growth),_2018_2040_Demand_Growth,_2018_2025_Demand_Growth)</f>
        <v>5.4876583154097602E-2</v>
      </c>
      <c r="O5" s="80">
        <f t="shared" ref="O5:O11" si="3">O4*(1+IFERROR(_2018_2025_V_C_Growth,_2018_2040_V_C_Growth))</f>
        <v>0.5274382915770488</v>
      </c>
      <c r="P5" s="83">
        <f t="shared" ref="P5:P36" si="4">-(ROUNDUP(O5,0)-2)</f>
        <v>1</v>
      </c>
      <c r="Q5" s="109">
        <f>Q4*(1+N5*P5)</f>
        <v>419136.02418559161</v>
      </c>
      <c r="R5" s="94">
        <f t="shared" si="0"/>
        <v>1</v>
      </c>
      <c r="S5" s="85">
        <f t="shared" ref="S5:S36" si="5">(Q5*R5)/10^3</f>
        <v>419.13602418559162</v>
      </c>
    </row>
    <row r="6" spans="1:19" x14ac:dyDescent="0.25">
      <c r="D6" s="26" t="s">
        <v>121</v>
      </c>
      <c r="E6" s="64">
        <f>(_2040_Volume/_2018_Volume)^(1/(2040-2018))-1</f>
        <v>3.2819733502064352E-2</v>
      </c>
      <c r="M6" s="86">
        <f t="shared" si="1"/>
        <v>2020</v>
      </c>
      <c r="N6" s="78">
        <f t="shared" si="2"/>
        <v>5.4876583154097602E-2</v>
      </c>
      <c r="O6" s="80">
        <f t="shared" si="3"/>
        <v>0.55638230284343193</v>
      </c>
      <c r="P6" s="83">
        <f t="shared" si="4"/>
        <v>1</v>
      </c>
      <c r="Q6" s="109">
        <f t="shared" ref="Q6:Q29" si="6">Q5*(1+N6*P6)</f>
        <v>442136.77706969011</v>
      </c>
      <c r="R6" s="94">
        <f t="shared" si="0"/>
        <v>1</v>
      </c>
      <c r="S6" s="85">
        <f t="shared" si="5"/>
        <v>442.13677706969014</v>
      </c>
    </row>
    <row r="7" spans="1:19" x14ac:dyDescent="0.25">
      <c r="D7" s="26" t="s">
        <v>115</v>
      </c>
      <c r="E7" s="28">
        <f>_2018_Volume/_2018_Capacity</f>
        <v>0.5</v>
      </c>
      <c r="M7" s="20">
        <f t="shared" si="1"/>
        <v>2021</v>
      </c>
      <c r="N7" s="78">
        <f t="shared" si="2"/>
        <v>5.4876583154097602E-2</v>
      </c>
      <c r="O7" s="80">
        <f t="shared" si="3"/>
        <v>0.58691466255088787</v>
      </c>
      <c r="P7" s="83">
        <f t="shared" si="4"/>
        <v>1</v>
      </c>
      <c r="Q7" s="109">
        <f t="shared" si="6"/>
        <v>466399.73268203967</v>
      </c>
      <c r="R7" s="94">
        <f t="shared" si="0"/>
        <v>1</v>
      </c>
      <c r="S7" s="85">
        <f t="shared" si="5"/>
        <v>466.39973268203966</v>
      </c>
    </row>
    <row r="8" spans="1:19" x14ac:dyDescent="0.25">
      <c r="D8" s="26" t="s">
        <v>114</v>
      </c>
      <c r="E8" s="28">
        <f>_2025_Volume/_2025_Capacity</f>
        <v>0.72674418604651159</v>
      </c>
      <c r="M8" s="86">
        <f t="shared" si="1"/>
        <v>2022</v>
      </c>
      <c r="N8" s="78">
        <f t="shared" si="2"/>
        <v>5.4876583154097602E-2</v>
      </c>
      <c r="O8" s="80">
        <f t="shared" si="3"/>
        <v>0.61912253383472082</v>
      </c>
      <c r="P8" s="83">
        <f t="shared" si="4"/>
        <v>1</v>
      </c>
      <c r="Q8" s="109">
        <f t="shared" si="6"/>
        <v>491994.1563956145</v>
      </c>
      <c r="R8" s="94">
        <f t="shared" si="0"/>
        <v>1</v>
      </c>
      <c r="S8" s="85">
        <f t="shared" si="5"/>
        <v>491.99415639561448</v>
      </c>
    </row>
    <row r="9" spans="1:19" x14ac:dyDescent="0.25">
      <c r="D9" s="26" t="s">
        <v>90</v>
      </c>
      <c r="E9" s="28">
        <f>_2040_Volume/_2040_Capacity</f>
        <v>1.0174418604651163</v>
      </c>
      <c r="M9" s="20">
        <f t="shared" si="1"/>
        <v>2023</v>
      </c>
      <c r="N9" s="78">
        <f t="shared" si="2"/>
        <v>5.4876583154097602E-2</v>
      </c>
      <c r="O9" s="80">
        <f t="shared" si="3"/>
        <v>0.6530978630452775</v>
      </c>
      <c r="P9" s="83">
        <f t="shared" si="4"/>
        <v>1</v>
      </c>
      <c r="Q9" s="109">
        <f t="shared" si="6"/>
        <v>518993.11463038856</v>
      </c>
      <c r="R9" s="94">
        <f t="shared" si="0"/>
        <v>1</v>
      </c>
      <c r="S9" s="85">
        <f t="shared" si="5"/>
        <v>518.99311463038862</v>
      </c>
    </row>
    <row r="10" spans="1:19" x14ac:dyDescent="0.25">
      <c r="D10" s="26" t="s">
        <v>122</v>
      </c>
      <c r="E10" s="64">
        <f>(E8/E7)^(1/(2025-2018))-1</f>
        <v>5.4876583154097602E-2</v>
      </c>
      <c r="M10" s="86">
        <f t="shared" si="1"/>
        <v>2024</v>
      </c>
      <c r="N10" s="78">
        <f t="shared" si="2"/>
        <v>5.4876583154097602E-2</v>
      </c>
      <c r="O10" s="80">
        <f t="shared" si="3"/>
        <v>0.68893764223444509</v>
      </c>
      <c r="P10" s="83">
        <f t="shared" si="4"/>
        <v>1</v>
      </c>
      <c r="Q10" s="109">
        <f t="shared" si="6"/>
        <v>547473.68344180717</v>
      </c>
      <c r="R10" s="94">
        <f t="shared" si="0"/>
        <v>1</v>
      </c>
      <c r="S10" s="85">
        <f t="shared" si="5"/>
        <v>547.47368344180711</v>
      </c>
    </row>
    <row r="11" spans="1:19" x14ac:dyDescent="0.25">
      <c r="D11" s="26" t="s">
        <v>123</v>
      </c>
      <c r="E11" s="64">
        <f>(E9/E8)^(1/(2040-2025))-1</f>
        <v>2.268495988716035E-2</v>
      </c>
      <c r="M11" s="20">
        <f t="shared" si="1"/>
        <v>2025</v>
      </c>
      <c r="N11" s="78">
        <f t="shared" si="2"/>
        <v>5.4876583154097602E-2</v>
      </c>
      <c r="O11" s="80">
        <f t="shared" si="3"/>
        <v>0.72674418604651159</v>
      </c>
      <c r="P11" s="83">
        <f t="shared" si="4"/>
        <v>1</v>
      </c>
      <c r="Q11" s="109">
        <f t="shared" si="6"/>
        <v>577517.1685558816</v>
      </c>
      <c r="R11" s="94">
        <f t="shared" si="0"/>
        <v>1</v>
      </c>
      <c r="S11" s="85">
        <f t="shared" si="5"/>
        <v>577.51716855588154</v>
      </c>
    </row>
    <row r="12" spans="1:19" x14ac:dyDescent="0.25">
      <c r="D12" s="26" t="s">
        <v>124</v>
      </c>
      <c r="E12" s="64">
        <f>(E9/E7)^(1/(2040-2018))-1</f>
        <v>3.2819733502064352E-2</v>
      </c>
      <c r="M12" s="86">
        <f t="shared" si="1"/>
        <v>2026</v>
      </c>
      <c r="N12" s="78">
        <f t="shared" ref="N12:N36" si="7">IFERROR(_2025_2040_Demand_Growth,_2018_2040_Demand_Growth)</f>
        <v>2.268495988716035E-2</v>
      </c>
      <c r="O12" s="80">
        <f t="shared" ref="O12:O36" si="8">O11*(1+IFERROR(_2025_2040_V_C_Growth,_2018_2040_V_C_Growth))</f>
        <v>0.74323034875520366</v>
      </c>
      <c r="P12" s="83">
        <f t="shared" si="4"/>
        <v>1</v>
      </c>
      <c r="Q12" s="109">
        <f t="shared" si="6"/>
        <v>590618.12235871819</v>
      </c>
      <c r="R12" s="94">
        <f t="shared" si="0"/>
        <v>1</v>
      </c>
      <c r="S12" s="85">
        <f t="shared" si="5"/>
        <v>590.61812235871821</v>
      </c>
    </row>
    <row r="13" spans="1:19" x14ac:dyDescent="0.25">
      <c r="M13" s="20">
        <f t="shared" si="1"/>
        <v>2027</v>
      </c>
      <c r="N13" s="78">
        <f t="shared" si="7"/>
        <v>2.268495988716035E-2</v>
      </c>
      <c r="O13" s="80">
        <f t="shared" si="8"/>
        <v>0.7600904994036356</v>
      </c>
      <c r="P13" s="83">
        <f t="shared" si="4"/>
        <v>1</v>
      </c>
      <c r="Q13" s="109">
        <f t="shared" si="6"/>
        <v>604016.27077305573</v>
      </c>
      <c r="R13" s="94">
        <f t="shared" si="0"/>
        <v>1</v>
      </c>
      <c r="S13" s="85">
        <f t="shared" si="5"/>
        <v>604.01627077305568</v>
      </c>
    </row>
    <row r="14" spans="1:19" x14ac:dyDescent="0.25">
      <c r="M14" s="86">
        <f>M13+1</f>
        <v>2028</v>
      </c>
      <c r="N14" s="78">
        <f t="shared" si="7"/>
        <v>2.268495988716035E-2</v>
      </c>
      <c r="O14" s="80">
        <f>O13*(1+IFERROR(_2025_2040_V_C_Growth,_2018_2040_V_C_Growth))</f>
        <v>0.77733312189321879</v>
      </c>
      <c r="P14" s="83">
        <f t="shared" si="4"/>
        <v>1</v>
      </c>
      <c r="Q14" s="109">
        <f>Q13*(1+N14*P14)</f>
        <v>617718.35564673471</v>
      </c>
      <c r="R14" s="94">
        <f t="shared" si="0"/>
        <v>1</v>
      </c>
      <c r="S14" s="85">
        <f t="shared" si="5"/>
        <v>617.71835564673472</v>
      </c>
    </row>
    <row r="15" spans="1:19" x14ac:dyDescent="0.25">
      <c r="A15" s="119" t="s">
        <v>315</v>
      </c>
      <c r="B15" s="119"/>
      <c r="D15" s="72" t="s">
        <v>145</v>
      </c>
      <c r="E15" s="72" t="s">
        <v>151</v>
      </c>
      <c r="F15" s="72" t="s">
        <v>150</v>
      </c>
      <c r="G15" s="72" t="s">
        <v>149</v>
      </c>
      <c r="H15" s="72" t="s">
        <v>148</v>
      </c>
      <c r="I15" s="72" t="s">
        <v>147</v>
      </c>
      <c r="J15" s="120" t="s">
        <v>316</v>
      </c>
      <c r="M15" s="20">
        <f>M14+1</f>
        <v>2029</v>
      </c>
      <c r="N15" s="78">
        <f t="shared" si="7"/>
        <v>2.268495988716035E-2</v>
      </c>
      <c r="O15" s="80">
        <f>O14*(1+IFERROR(_2025_2040_V_C_Growth,_2018_2040_V_C_Growth))</f>
        <v>0.79496689258232756</v>
      </c>
      <c r="P15" s="83">
        <f t="shared" si="4"/>
        <v>1</v>
      </c>
      <c r="Q15" s="109">
        <f>Q14*(1+N15*P15)</f>
        <v>631731.2717661435</v>
      </c>
      <c r="R15" s="94">
        <f t="shared" si="0"/>
        <v>1</v>
      </c>
      <c r="S15" s="85">
        <f t="shared" si="5"/>
        <v>631.73127176614355</v>
      </c>
    </row>
    <row r="16" spans="1:19" x14ac:dyDescent="0.25">
      <c r="A16" s="119"/>
      <c r="B16" s="119"/>
      <c r="D16" s="106">
        <f>Avg_Death_Cnt</f>
        <v>0</v>
      </c>
      <c r="E16" s="106">
        <f>Avg_Incap_Injry_Cnt</f>
        <v>0.33333333333333331</v>
      </c>
      <c r="F16" s="106">
        <f>Avg_Nonincap_Injry_Cnt</f>
        <v>2.6666666666666665</v>
      </c>
      <c r="G16" s="106">
        <f>Avg_Poss_Injry_Cnt</f>
        <v>4</v>
      </c>
      <c r="H16" s="106">
        <f>Avg_Non_Injry_Cnt</f>
        <v>30.333333333333332</v>
      </c>
      <c r="I16" s="106">
        <f>Avg_Unkn_Injry_Cnt</f>
        <v>0.33333333333333331</v>
      </c>
      <c r="J16" s="120"/>
      <c r="M16" s="86">
        <f t="shared" si="1"/>
        <v>2030</v>
      </c>
      <c r="N16" s="78">
        <f t="shared" si="7"/>
        <v>2.268495988716035E-2</v>
      </c>
      <c r="O16" s="80">
        <f t="shared" si="8"/>
        <v>0.81300068465217812</v>
      </c>
      <c r="P16" s="83">
        <f t="shared" si="4"/>
        <v>1</v>
      </c>
      <c r="Q16" s="109">
        <f t="shared" si="6"/>
        <v>646062.07032562327</v>
      </c>
      <c r="R16" s="94">
        <f t="shared" si="0"/>
        <v>1</v>
      </c>
      <c r="S16" s="85">
        <f t="shared" si="5"/>
        <v>646.06207032562327</v>
      </c>
    </row>
    <row r="17" spans="1:19" x14ac:dyDescent="0.25">
      <c r="A17" s="72" t="s">
        <v>311</v>
      </c>
      <c r="B17" s="103" t="s">
        <v>312</v>
      </c>
      <c r="D17" s="107">
        <f>D$16*'Value of Statistical Life'!D17*Appropriate_Crash_Reduction_Factor</f>
        <v>0</v>
      </c>
      <c r="E17" s="107">
        <f>E$16*'Value of Statistical Life'!E17*Appropriate_Crash_Reduction_Factor</f>
        <v>5.1554999999999995E-3</v>
      </c>
      <c r="F17" s="107">
        <f>F$16*'Value of Statistical Life'!F17*Appropriate_Crash_Reduction_Factor</f>
        <v>0.100164</v>
      </c>
      <c r="G17" s="107">
        <f>G$16*'Value of Statistical Life'!G17*Appropriate_Crash_Reduction_Factor</f>
        <v>0.42186600000000002</v>
      </c>
      <c r="H17" s="107">
        <f>H$16*'Value of Statistical Life'!H17*Appropriate_Crash_Reduction_Factor</f>
        <v>12.630891</v>
      </c>
      <c r="I17" s="107">
        <f>I$16*'Value of Statistical Life'!I17*Appropriate_Crash_Reduction_Factor</f>
        <v>6.5513999999999989E-2</v>
      </c>
      <c r="J17" s="107">
        <f>SUM(D17:I17)</f>
        <v>13.2235905</v>
      </c>
      <c r="M17" s="20">
        <f t="shared" si="1"/>
        <v>2031</v>
      </c>
      <c r="N17" s="78">
        <f t="shared" si="7"/>
        <v>2.268495988716035E-2</v>
      </c>
      <c r="O17" s="80">
        <f t="shared" si="8"/>
        <v>0.83144357257174673</v>
      </c>
      <c r="P17" s="83">
        <f t="shared" si="4"/>
        <v>1</v>
      </c>
      <c r="Q17" s="109">
        <f t="shared" si="6"/>
        <v>660717.96247557586</v>
      </c>
      <c r="R17" s="94">
        <f t="shared" si="0"/>
        <v>1</v>
      </c>
      <c r="S17" s="85">
        <f t="shared" si="5"/>
        <v>660.71796247557586</v>
      </c>
    </row>
    <row r="18" spans="1:19" x14ac:dyDescent="0.25">
      <c r="A18" s="72" t="s">
        <v>98</v>
      </c>
      <c r="B18" s="73" t="s">
        <v>99</v>
      </c>
      <c r="D18" s="107">
        <f>D$16*'Value of Statistical Life'!D18*Appropriate_Crash_Reduction_Factor</f>
        <v>0</v>
      </c>
      <c r="E18" s="107">
        <f>E$16*'Value of Statistical Life'!E18*Appropriate_Crash_Reduction_Factor</f>
        <v>8.3173499999999997E-2</v>
      </c>
      <c r="F18" s="107">
        <f>F$16*'Value of Statistical Life'!F18*Appropriate_Crash_Reduction_Factor</f>
        <v>0.92211599999999982</v>
      </c>
      <c r="G18" s="107">
        <f>G$16*'Value of Statistical Life'!G18*Appropriate_Crash_Reduction_Factor</f>
        <v>1.241028</v>
      </c>
      <c r="H18" s="107">
        <f>H$16*'Value of Statistical Life'!H18*Appropriate_Crash_Reduction_Factor</f>
        <v>0.99058049999999986</v>
      </c>
      <c r="I18" s="107">
        <f>I$16*'Value of Statistical Life'!I18*Appropriate_Crash_Reduction_Factor</f>
        <v>6.2608499999999997E-2</v>
      </c>
      <c r="J18" s="107">
        <f t="shared" ref="J18:J23" si="9">SUM(D18:I18)</f>
        <v>3.2995065000000001</v>
      </c>
      <c r="M18" s="86">
        <f t="shared" si="1"/>
        <v>2032</v>
      </c>
      <c r="N18" s="78">
        <f t="shared" si="7"/>
        <v>2.268495988716035E-2</v>
      </c>
      <c r="O18" s="80">
        <f t="shared" si="8"/>
        <v>0.85030483666397405</v>
      </c>
      <c r="P18" s="83">
        <f t="shared" si="4"/>
        <v>1</v>
      </c>
      <c r="Q18" s="109">
        <f t="shared" si="6"/>
        <v>675706.3229510606</v>
      </c>
      <c r="R18" s="94">
        <f t="shared" si="0"/>
        <v>1</v>
      </c>
      <c r="S18" s="85">
        <f t="shared" si="5"/>
        <v>675.70632295106066</v>
      </c>
    </row>
    <row r="19" spans="1:19" x14ac:dyDescent="0.25">
      <c r="A19" s="72" t="s">
        <v>100</v>
      </c>
      <c r="B19" s="73" t="s">
        <v>101</v>
      </c>
      <c r="D19" s="107">
        <f>D$16*'Value of Statistical Life'!D19*Appropriate_Crash_Reduction_Factor</f>
        <v>0</v>
      </c>
      <c r="E19" s="107">
        <f>E$16*'Value of Statistical Life'!E19*Appropriate_Crash_Reduction_Factor</f>
        <v>3.1362000000000001E-2</v>
      </c>
      <c r="F19" s="107">
        <f>F$16*'Value of Statistical Life'!F19*Appropriate_Crash_Reduction_Factor</f>
        <v>0.13077599999999998</v>
      </c>
      <c r="G19" s="107">
        <f>G$16*'Value of Statistical Life'!G19*Appropriate_Crash_Reduction_Factor</f>
        <v>0.11503799999999999</v>
      </c>
      <c r="H19" s="107">
        <f>H$16*'Value of Statistical Life'!H19*Appropriate_Crash_Reduction_Factor</f>
        <v>2.7026999999999999E-2</v>
      </c>
      <c r="I19" s="107">
        <f>I$16*'Value of Statistical Life'!I19*Appropriate_Crash_Reduction_Factor</f>
        <v>1.3307999999999999E-2</v>
      </c>
      <c r="J19" s="107">
        <f t="shared" si="9"/>
        <v>0.31751099999999999</v>
      </c>
      <c r="M19" s="20">
        <f t="shared" si="1"/>
        <v>2033</v>
      </c>
      <c r="N19" s="78">
        <f t="shared" si="7"/>
        <v>2.268495988716035E-2</v>
      </c>
      <c r="O19" s="80">
        <f t="shared" si="8"/>
        <v>0.86959396777555475</v>
      </c>
      <c r="P19" s="83">
        <f t="shared" si="4"/>
        <v>1</v>
      </c>
      <c r="Q19" s="109">
        <f t="shared" si="6"/>
        <v>691034.69378270605</v>
      </c>
      <c r="R19" s="94">
        <f t="shared" si="0"/>
        <v>1</v>
      </c>
      <c r="S19" s="85">
        <f t="shared" si="5"/>
        <v>691.03469378270609</v>
      </c>
    </row>
    <row r="20" spans="1:19" x14ac:dyDescent="0.25">
      <c r="A20" s="72" t="s">
        <v>102</v>
      </c>
      <c r="B20" s="73" t="s">
        <v>103</v>
      </c>
      <c r="D20" s="107">
        <f>D$16*'Value of Statistical Life'!D20*Appropriate_Crash_Reduction_Factor</f>
        <v>0</v>
      </c>
      <c r="E20" s="107">
        <f>E$16*'Value of Statistical Life'!E20*Appropriate_Crash_Reduction_Factor</f>
        <v>2.1655499999999998E-2</v>
      </c>
      <c r="F20" s="107">
        <f>F$16*'Value of Statistical Life'!F20*Appropriate_Crash_Reduction_Factor</f>
        <v>3.8292E-2</v>
      </c>
      <c r="G20" s="107">
        <f>G$16*'Value of Statistical Life'!G20*Appropriate_Crash_Reduction_Factor</f>
        <v>1.9278000000000003E-2</v>
      </c>
      <c r="H20" s="107">
        <f>H$16*'Value of Statistical Life'!H20*Appropriate_Crash_Reduction_Factor</f>
        <v>1.0920000000000001E-3</v>
      </c>
      <c r="I20" s="107">
        <f>I$16*'Value of Statistical Life'!I20*Appropriate_Crash_Reduction_Factor</f>
        <v>7.2254999999999984E-3</v>
      </c>
      <c r="J20" s="107">
        <f t="shared" si="9"/>
        <v>8.7542999999999996E-2</v>
      </c>
      <c r="M20" s="86">
        <f t="shared" si="1"/>
        <v>2034</v>
      </c>
      <c r="N20" s="78">
        <f t="shared" si="7"/>
        <v>2.268495988716035E-2</v>
      </c>
      <c r="O20" s="80">
        <f t="shared" si="8"/>
        <v>0.88932067205265986</v>
      </c>
      <c r="P20" s="83">
        <f t="shared" si="4"/>
        <v>1</v>
      </c>
      <c r="Q20" s="109">
        <f t="shared" si="6"/>
        <v>706710.78809180285</v>
      </c>
      <c r="R20" s="94">
        <f t="shared" si="0"/>
        <v>1</v>
      </c>
      <c r="S20" s="85">
        <f t="shared" si="5"/>
        <v>706.7107880918029</v>
      </c>
    </row>
    <row r="21" spans="1:19" x14ac:dyDescent="0.25">
      <c r="A21" s="72" t="s">
        <v>104</v>
      </c>
      <c r="B21" s="73" t="s">
        <v>105</v>
      </c>
      <c r="D21" s="107">
        <f>D$16*'Value of Statistical Life'!D21*Appropriate_Crash_Reduction_Factor</f>
        <v>0</v>
      </c>
      <c r="E21" s="107">
        <f>E$16*'Value of Statistical Life'!E21*Appropriate_Crash_Reduction_Factor</f>
        <v>5.9789999999999999E-3</v>
      </c>
      <c r="F21" s="107">
        <f>F$16*'Value of Statistical Life'!F21*Appropriate_Crash_Reduction_Factor</f>
        <v>7.4399999999999987E-3</v>
      </c>
      <c r="G21" s="107">
        <f>G$16*'Value of Statistical Life'!G21*Appropriate_Crash_Reduction_Factor</f>
        <v>2.5560000000000001E-3</v>
      </c>
      <c r="H21" s="107">
        <f>H$16*'Value of Statistical Life'!H21*Appropriate_Crash_Reduction_Factor</f>
        <v>0</v>
      </c>
      <c r="I21" s="107">
        <f>I$16*'Value of Statistical Life'!I21*Appropriate_Crash_Reduction_Factor</f>
        <v>9.255E-4</v>
      </c>
      <c r="J21" s="107">
        <f t="shared" si="9"/>
        <v>1.6900499999999999E-2</v>
      </c>
      <c r="M21" s="20">
        <f>M20+1</f>
        <v>2035</v>
      </c>
      <c r="N21" s="78">
        <f t="shared" si="7"/>
        <v>2.268495988716035E-2</v>
      </c>
      <c r="O21" s="80">
        <f>O20*(1+IFERROR(_2025_2040_V_C_Growth,_2018_2040_V_C_Growth))</f>
        <v>0.90949487582499688</v>
      </c>
      <c r="P21" s="83">
        <f t="shared" si="4"/>
        <v>1</v>
      </c>
      <c r="Q21" s="109">
        <f>Q20*(1+N21*P21)</f>
        <v>722742.4939714889</v>
      </c>
      <c r="R21" s="94">
        <f t="shared" si="0"/>
        <v>1</v>
      </c>
      <c r="S21" s="85">
        <f t="shared" si="5"/>
        <v>722.7424939714889</v>
      </c>
    </row>
    <row r="22" spans="1:19" x14ac:dyDescent="0.25">
      <c r="A22" s="72" t="s">
        <v>106</v>
      </c>
      <c r="B22" s="73" t="s">
        <v>107</v>
      </c>
      <c r="D22" s="107">
        <f>D$16*'Value of Statistical Life'!D22*Appropriate_Crash_Reduction_Factor</f>
        <v>0</v>
      </c>
      <c r="E22" s="107">
        <f>E$16*'Value of Statistical Life'!E22*Appropriate_Crash_Reduction_Factor</f>
        <v>2.6744999999999998E-3</v>
      </c>
      <c r="F22" s="107">
        <f>F$16*'Value of Statistical Life'!F22*Appropriate_Crash_Reduction_Factor</f>
        <v>1.212E-3</v>
      </c>
      <c r="G22" s="107">
        <f>G$16*'Value of Statistical Life'!G22*Appropriate_Crash_Reduction_Factor</f>
        <v>2.34E-4</v>
      </c>
      <c r="H22" s="107">
        <f>H$16*'Value of Statistical Life'!H22*Appropriate_Crash_Reduction_Factor</f>
        <v>4.0950000000000003E-4</v>
      </c>
      <c r="I22" s="107">
        <f>I$16*'Value of Statistical Life'!I22*Appropriate_Crash_Reduction_Factor</f>
        <v>4.1849999999999998E-4</v>
      </c>
      <c r="J22" s="107">
        <f t="shared" si="9"/>
        <v>4.9484999999999998E-3</v>
      </c>
      <c r="M22" s="86">
        <f>M21+1</f>
        <v>2036</v>
      </c>
      <c r="N22" s="78">
        <f t="shared" si="7"/>
        <v>2.268495988716035E-2</v>
      </c>
      <c r="O22" s="80">
        <f t="shared" si="8"/>
        <v>0.93012673060066486</v>
      </c>
      <c r="P22" s="83">
        <f t="shared" si="4"/>
        <v>1</v>
      </c>
      <c r="Q22" s="109">
        <f t="shared" si="6"/>
        <v>739137.87845597835</v>
      </c>
      <c r="R22" s="94">
        <f t="shared" si="0"/>
        <v>1</v>
      </c>
      <c r="S22" s="85">
        <f t="shared" si="5"/>
        <v>739.13787845597835</v>
      </c>
    </row>
    <row r="23" spans="1:19" x14ac:dyDescent="0.25">
      <c r="A23" s="72" t="s">
        <v>108</v>
      </c>
      <c r="B23" s="73" t="s">
        <v>109</v>
      </c>
      <c r="D23" s="107">
        <f>D$16*'Value of Statistical Life'!D23*Appropriate_Crash_Reduction_Factor</f>
        <v>0</v>
      </c>
      <c r="E23" s="107">
        <f>E$16*'Value of Statistical Life'!E23*Appropriate_Crash_Reduction_Factor</f>
        <v>0</v>
      </c>
      <c r="F23" s="107">
        <f>F$16*'Value of Statistical Life'!F23*Appropriate_Crash_Reduction_Factor</f>
        <v>0</v>
      </c>
      <c r="G23" s="107">
        <f>G$16*'Value of Statistical Life'!G23*Appropriate_Crash_Reduction_Factor</f>
        <v>0</v>
      </c>
      <c r="H23" s="107">
        <f>H$16*'Value of Statistical Life'!H23*Appropriate_Crash_Reduction_Factor</f>
        <v>0</v>
      </c>
      <c r="I23" s="107">
        <f>I$16*'Value of Statistical Life'!I23*Appropriate_Crash_Reduction_Factor</f>
        <v>0</v>
      </c>
      <c r="J23" s="107">
        <f t="shared" si="9"/>
        <v>0</v>
      </c>
      <c r="M23" s="20">
        <f t="shared" si="1"/>
        <v>2037</v>
      </c>
      <c r="N23" s="78">
        <f t="shared" si="7"/>
        <v>2.268495988716035E-2</v>
      </c>
      <c r="O23" s="80">
        <f t="shared" si="8"/>
        <v>0.95122661817431653</v>
      </c>
      <c r="P23" s="83">
        <f t="shared" si="4"/>
        <v>1</v>
      </c>
      <c r="Q23" s="109">
        <f t="shared" si="6"/>
        <v>755905.19157983304</v>
      </c>
      <c r="R23" s="94">
        <f t="shared" si="0"/>
        <v>1</v>
      </c>
      <c r="S23" s="85">
        <f t="shared" si="5"/>
        <v>755.90519157983306</v>
      </c>
    </row>
    <row r="24" spans="1:19" x14ac:dyDescent="0.25">
      <c r="M24" s="86">
        <f t="shared" si="1"/>
        <v>2038</v>
      </c>
      <c r="N24" s="78">
        <f t="shared" si="7"/>
        <v>2.268495988716035E-2</v>
      </c>
      <c r="O24" s="80">
        <f t="shared" si="8"/>
        <v>0.97280515585120009</v>
      </c>
      <c r="P24" s="83">
        <f t="shared" si="4"/>
        <v>1</v>
      </c>
      <c r="Q24" s="109">
        <f t="shared" si="6"/>
        <v>773052.87052931776</v>
      </c>
      <c r="R24" s="94">
        <f t="shared" si="0"/>
        <v>0</v>
      </c>
      <c r="S24" s="85">
        <f t="shared" si="5"/>
        <v>0</v>
      </c>
    </row>
    <row r="25" spans="1:19" x14ac:dyDescent="0.25">
      <c r="M25" s="20">
        <f t="shared" si="1"/>
        <v>2039</v>
      </c>
      <c r="N25" s="78">
        <f t="shared" si="7"/>
        <v>2.268495988716035E-2</v>
      </c>
      <c r="O25" s="80">
        <f t="shared" si="8"/>
        <v>0.99487320178970728</v>
      </c>
      <c r="P25" s="83">
        <f t="shared" si="4"/>
        <v>1</v>
      </c>
      <c r="Q25" s="109">
        <f t="shared" si="6"/>
        <v>790589.54388792953</v>
      </c>
      <c r="R25" s="94">
        <f t="shared" si="0"/>
        <v>0</v>
      </c>
      <c r="S25" s="85">
        <f t="shared" si="5"/>
        <v>0</v>
      </c>
    </row>
    <row r="26" spans="1:19" x14ac:dyDescent="0.25">
      <c r="M26" s="86">
        <f t="shared" si="1"/>
        <v>2040</v>
      </c>
      <c r="N26" s="78">
        <f t="shared" si="7"/>
        <v>2.268495988716035E-2</v>
      </c>
      <c r="O26" s="80">
        <f t="shared" si="8"/>
        <v>1.0174418604651176</v>
      </c>
      <c r="P26" s="83">
        <f t="shared" si="4"/>
        <v>0</v>
      </c>
      <c r="Q26" s="109">
        <f t="shared" si="6"/>
        <v>790589.54388792953</v>
      </c>
      <c r="R26" s="94">
        <f t="shared" si="0"/>
        <v>0</v>
      </c>
      <c r="S26" s="85">
        <f t="shared" si="5"/>
        <v>0</v>
      </c>
    </row>
    <row r="27" spans="1:19" x14ac:dyDescent="0.25">
      <c r="M27" s="20">
        <f t="shared" si="1"/>
        <v>2041</v>
      </c>
      <c r="N27" s="78">
        <f t="shared" si="7"/>
        <v>2.268495988716035E-2</v>
      </c>
      <c r="O27" s="80">
        <f t="shared" si="8"/>
        <v>1.0405224882572865</v>
      </c>
      <c r="P27" s="83">
        <f t="shared" si="4"/>
        <v>0</v>
      </c>
      <c r="Q27" s="109">
        <f t="shared" si="6"/>
        <v>790589.54388792953</v>
      </c>
      <c r="R27" s="94">
        <f t="shared" si="0"/>
        <v>0</v>
      </c>
      <c r="S27" s="85">
        <f t="shared" si="5"/>
        <v>0</v>
      </c>
    </row>
    <row r="28" spans="1:19" x14ac:dyDescent="0.25">
      <c r="M28" s="86">
        <f t="shared" si="1"/>
        <v>2042</v>
      </c>
      <c r="N28" s="78">
        <f t="shared" si="7"/>
        <v>2.268495988716035E-2</v>
      </c>
      <c r="O28" s="80">
        <f t="shared" si="8"/>
        <v>1.0641266991650913</v>
      </c>
      <c r="P28" s="83">
        <f t="shared" si="4"/>
        <v>0</v>
      </c>
      <c r="Q28" s="109">
        <f t="shared" si="6"/>
        <v>790589.54388792953</v>
      </c>
      <c r="R28" s="94">
        <f t="shared" si="0"/>
        <v>0</v>
      </c>
      <c r="S28" s="85">
        <f t="shared" si="5"/>
        <v>0</v>
      </c>
    </row>
    <row r="29" spans="1:19" x14ac:dyDescent="0.25">
      <c r="M29" s="20">
        <f t="shared" si="1"/>
        <v>2043</v>
      </c>
      <c r="N29" s="78">
        <f t="shared" si="7"/>
        <v>2.268495988716035E-2</v>
      </c>
      <c r="O29" s="80">
        <f t="shared" si="8"/>
        <v>1.0882663706505078</v>
      </c>
      <c r="P29" s="83">
        <f t="shared" si="4"/>
        <v>0</v>
      </c>
      <c r="Q29" s="109">
        <f t="shared" si="6"/>
        <v>790589.54388792953</v>
      </c>
      <c r="R29" s="94">
        <f t="shared" si="0"/>
        <v>0</v>
      </c>
      <c r="S29" s="85">
        <f t="shared" si="5"/>
        <v>0</v>
      </c>
    </row>
    <row r="30" spans="1:19" x14ac:dyDescent="0.25">
      <c r="M30" s="20">
        <f t="shared" si="1"/>
        <v>2044</v>
      </c>
      <c r="N30" s="78">
        <f t="shared" si="7"/>
        <v>2.268495988716035E-2</v>
      </c>
      <c r="O30" s="80">
        <f t="shared" si="8"/>
        <v>1.1129536496152601</v>
      </c>
      <c r="P30" s="83">
        <f t="shared" si="4"/>
        <v>0</v>
      </c>
      <c r="Q30" s="109">
        <f t="shared" ref="Q30:Q31" si="10">Q29*(1+N30*P30)</f>
        <v>790589.54388792953</v>
      </c>
      <c r="R30" s="94">
        <f t="shared" si="0"/>
        <v>0</v>
      </c>
      <c r="S30" s="85">
        <f t="shared" si="5"/>
        <v>0</v>
      </c>
    </row>
    <row r="31" spans="1:19" x14ac:dyDescent="0.25">
      <c r="M31" s="20">
        <f t="shared" si="1"/>
        <v>2045</v>
      </c>
      <c r="N31" s="78">
        <f t="shared" si="7"/>
        <v>2.268495988716035E-2</v>
      </c>
      <c r="O31" s="80">
        <f t="shared" si="8"/>
        <v>1.138200958513051</v>
      </c>
      <c r="P31" s="83">
        <f t="shared" si="4"/>
        <v>0</v>
      </c>
      <c r="Q31" s="109">
        <f t="shared" si="10"/>
        <v>790589.54388792953</v>
      </c>
      <c r="R31" s="94">
        <f t="shared" si="0"/>
        <v>0</v>
      </c>
      <c r="S31" s="85">
        <f t="shared" si="5"/>
        <v>0</v>
      </c>
    </row>
    <row r="32" spans="1:19" x14ac:dyDescent="0.25">
      <c r="A32" s="11"/>
      <c r="M32" s="20">
        <f t="shared" si="1"/>
        <v>2046</v>
      </c>
      <c r="N32" s="78">
        <f t="shared" si="7"/>
        <v>2.268495988716035E-2</v>
      </c>
      <c r="O32" s="80">
        <f t="shared" si="8"/>
        <v>1.1640210016004471</v>
      </c>
      <c r="P32" s="83">
        <f t="shared" si="4"/>
        <v>0</v>
      </c>
      <c r="Q32" s="109">
        <f t="shared" ref="Q32:Q36" si="11">Q31*(1+N32*P32)</f>
        <v>790589.54388792953</v>
      </c>
      <c r="R32" s="94">
        <f t="shared" si="0"/>
        <v>0</v>
      </c>
      <c r="S32" s="85">
        <f t="shared" si="5"/>
        <v>0</v>
      </c>
    </row>
    <row r="33" spans="1:19" x14ac:dyDescent="0.25">
      <c r="A33" s="11"/>
      <c r="M33" s="20">
        <f t="shared" si="1"/>
        <v>2047</v>
      </c>
      <c r="N33" s="78">
        <f t="shared" si="7"/>
        <v>2.268495988716035E-2</v>
      </c>
      <c r="O33" s="80">
        <f t="shared" si="8"/>
        <v>1.1904267713295655</v>
      </c>
      <c r="P33" s="83">
        <f t="shared" si="4"/>
        <v>0</v>
      </c>
      <c r="Q33" s="109">
        <f t="shared" si="11"/>
        <v>790589.54388792953</v>
      </c>
      <c r="R33" s="94">
        <f t="shared" si="0"/>
        <v>0</v>
      </c>
      <c r="S33" s="85">
        <f t="shared" si="5"/>
        <v>0</v>
      </c>
    </row>
    <row r="34" spans="1:19" x14ac:dyDescent="0.25">
      <c r="M34" s="20">
        <f t="shared" si="1"/>
        <v>2048</v>
      </c>
      <c r="N34" s="78">
        <f t="shared" si="7"/>
        <v>2.268495988716035E-2</v>
      </c>
      <c r="O34" s="80">
        <f t="shared" si="8"/>
        <v>1.2174315548857786</v>
      </c>
      <c r="P34" s="83">
        <f t="shared" si="4"/>
        <v>0</v>
      </c>
      <c r="Q34" s="109">
        <f t="shared" si="11"/>
        <v>790589.54388792953</v>
      </c>
      <c r="R34" s="94">
        <f t="shared" si="0"/>
        <v>0</v>
      </c>
      <c r="S34" s="85">
        <f t="shared" si="5"/>
        <v>0</v>
      </c>
    </row>
    <row r="35" spans="1:19" x14ac:dyDescent="0.25">
      <c r="M35" s="20">
        <f t="shared" si="1"/>
        <v>2049</v>
      </c>
      <c r="N35" s="78">
        <f t="shared" si="7"/>
        <v>2.268495988716035E-2</v>
      </c>
      <c r="O35" s="80">
        <f t="shared" si="8"/>
        <v>1.2450489408737258</v>
      </c>
      <c r="P35" s="83">
        <f t="shared" si="4"/>
        <v>0</v>
      </c>
      <c r="Q35" s="109">
        <f t="shared" si="11"/>
        <v>790589.54388792953</v>
      </c>
      <c r="R35" s="94">
        <f t="shared" si="0"/>
        <v>0</v>
      </c>
      <c r="S35" s="85">
        <f t="shared" si="5"/>
        <v>0</v>
      </c>
    </row>
    <row r="36" spans="1:19" x14ac:dyDescent="0.25">
      <c r="M36" s="20">
        <f t="shared" si="1"/>
        <v>2050</v>
      </c>
      <c r="N36" s="78">
        <f t="shared" si="7"/>
        <v>2.268495988716035E-2</v>
      </c>
      <c r="O36" s="80">
        <f t="shared" si="8"/>
        <v>1.2732928261549976</v>
      </c>
      <c r="P36" s="83">
        <f t="shared" si="4"/>
        <v>0</v>
      </c>
      <c r="Q36" s="109">
        <f t="shared" si="11"/>
        <v>790589.54388792953</v>
      </c>
      <c r="R36" s="94">
        <f t="shared" si="0"/>
        <v>0</v>
      </c>
      <c r="S36" s="85">
        <f t="shared" si="5"/>
        <v>0</v>
      </c>
    </row>
  </sheetData>
  <mergeCells count="2">
    <mergeCell ref="A15:B16"/>
    <mergeCell ref="J15:J16"/>
  </mergeCells>
  <pageMargins left="0.25" right="0.25" top="0.75" bottom="0.75" header="0.3" footer="0.3"/>
  <pageSetup paperSize="17" scale="6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pageSetUpPr fitToPage="1"/>
  </sheetPr>
  <dimension ref="B2:C23"/>
  <sheetViews>
    <sheetView zoomScaleNormal="100" workbookViewId="0">
      <selection activeCell="C8" sqref="C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4" t="s">
        <v>132</v>
      </c>
    </row>
    <row r="4" spans="2:3" x14ac:dyDescent="0.25">
      <c r="B4" s="4" t="s">
        <v>34</v>
      </c>
    </row>
    <row r="5" spans="2:3" x14ac:dyDescent="0.25">
      <c r="B5" s="45" t="s">
        <v>37</v>
      </c>
      <c r="C5" s="51">
        <v>2015</v>
      </c>
    </row>
    <row r="6" spans="2:3" x14ac:dyDescent="0.25">
      <c r="B6" s="45" t="s">
        <v>38</v>
      </c>
      <c r="C6" s="71" t="s">
        <v>91</v>
      </c>
    </row>
    <row r="7" spans="2:3" x14ac:dyDescent="0.25">
      <c r="B7" s="45" t="s">
        <v>134</v>
      </c>
      <c r="C7" s="52" t="s">
        <v>45</v>
      </c>
    </row>
    <row r="8" spans="2:3" x14ac:dyDescent="0.25">
      <c r="B8" s="45" t="s">
        <v>133</v>
      </c>
      <c r="C8" s="70">
        <f>'GDP Deflators'!P5-1</f>
        <v>2.0832073567924381E-2</v>
      </c>
    </row>
    <row r="9" spans="2:3" x14ac:dyDescent="0.25">
      <c r="B9" s="35"/>
      <c r="C9" s="36"/>
    </row>
    <row r="10" spans="2:3" x14ac:dyDescent="0.25">
      <c r="B10" s="37" t="s">
        <v>92</v>
      </c>
      <c r="C10" s="36"/>
    </row>
    <row r="11" spans="2:3" x14ac:dyDescent="0.25">
      <c r="B11" s="45" t="s">
        <v>93</v>
      </c>
      <c r="C11" s="76">
        <f>'Value of Statistical Life'!F11</f>
        <v>9587302.7263098899</v>
      </c>
    </row>
    <row r="12" spans="2:3" x14ac:dyDescent="0.25">
      <c r="B12" s="121" t="s">
        <v>111</v>
      </c>
      <c r="C12" s="122"/>
    </row>
    <row r="14" spans="2:3" x14ac:dyDescent="0.25">
      <c r="B14" s="37" t="s">
        <v>35</v>
      </c>
      <c r="C14" s="36"/>
    </row>
    <row r="15" spans="2:3" x14ac:dyDescent="0.25">
      <c r="B15" s="45" t="s">
        <v>84</v>
      </c>
      <c r="C15" s="50">
        <f>'Value of Travel Time'!D21</f>
        <v>16.100000000000001</v>
      </c>
    </row>
    <row r="16" spans="2:3" x14ac:dyDescent="0.25">
      <c r="B16" s="90" t="s">
        <v>130</v>
      </c>
      <c r="C16" s="91">
        <v>1.2E-2</v>
      </c>
    </row>
    <row r="18" spans="2:3" x14ac:dyDescent="0.25">
      <c r="B18" s="37" t="s">
        <v>36</v>
      </c>
    </row>
    <row r="19" spans="2:3" x14ac:dyDescent="0.25">
      <c r="B19" s="47" t="s">
        <v>86</v>
      </c>
      <c r="C19" s="48">
        <f>'Value of Emissions'!D4</f>
        <v>2083.1541467275511</v>
      </c>
    </row>
    <row r="20" spans="2:3" x14ac:dyDescent="0.25">
      <c r="B20" s="47" t="s">
        <v>87</v>
      </c>
      <c r="C20" s="48">
        <f>'Value of Emissions'!D5</f>
        <v>8208.6069103416321</v>
      </c>
    </row>
    <row r="21" spans="2:3" x14ac:dyDescent="0.25">
      <c r="B21" s="45" t="s">
        <v>49</v>
      </c>
      <c r="C21" s="49">
        <f>(0.267383+0.37942)/2</f>
        <v>0.32340150000000001</v>
      </c>
    </row>
    <row r="22" spans="2:3" x14ac:dyDescent="0.25">
      <c r="B22" s="45" t="s">
        <v>50</v>
      </c>
      <c r="C22" s="49">
        <f>(0.183428+0.198698)/2</f>
        <v>0.19106300000000001</v>
      </c>
    </row>
    <row r="23" spans="2:3" ht="63.75" x14ac:dyDescent="0.25">
      <c r="B23" s="45" t="s">
        <v>46</v>
      </c>
      <c r="C23" s="46" t="s">
        <v>47</v>
      </c>
    </row>
  </sheetData>
  <mergeCells count="1">
    <mergeCell ref="B12:C12"/>
  </mergeCells>
  <hyperlinks>
    <hyperlink ref="C23" r:id="rId1" location="page=80"/>
  </hyperlinks>
  <pageMargins left="0.25" right="0.25" top="0.75" bottom="0.75" header="0.3" footer="0.3"/>
  <pageSetup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sheetPr>
  <dimension ref="B2:H21"/>
  <sheetViews>
    <sheetView zoomScale="85" zoomScaleNormal="85" workbookViewId="0">
      <selection activeCell="D19" sqref="D19"/>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5" t="s">
        <v>74</v>
      </c>
    </row>
    <row r="3" spans="2:8" x14ac:dyDescent="0.25">
      <c r="B3" s="5"/>
    </row>
    <row r="4" spans="2:8" x14ac:dyDescent="0.25">
      <c r="B4" t="s">
        <v>0</v>
      </c>
      <c r="C4" t="s">
        <v>1</v>
      </c>
      <c r="D4" s="1">
        <v>2792941</v>
      </c>
      <c r="E4" s="3">
        <f>D4/D$12</f>
        <v>0.13018346701231348</v>
      </c>
      <c r="G4" t="s">
        <v>2</v>
      </c>
      <c r="H4" s="3">
        <f>SUMIF($C$4:$C$11,G4,$E$4:$E$11)</f>
        <v>0.74413612006105756</v>
      </c>
    </row>
    <row r="5" spans="2:8" x14ac:dyDescent="0.25">
      <c r="B5" t="s">
        <v>0</v>
      </c>
      <c r="C5" t="s">
        <v>2</v>
      </c>
      <c r="D5" s="1">
        <v>10901839</v>
      </c>
      <c r="E5" s="3">
        <f t="shared" ref="E5:E12" si="0">D5/D$12</f>
        <v>0.50815223015096012</v>
      </c>
      <c r="G5" t="s">
        <v>1</v>
      </c>
      <c r="H5" s="3">
        <f>SUMIF($C$4:$C$11,G5,$E$4:$E$11)</f>
        <v>0.21933837248304314</v>
      </c>
    </row>
    <row r="6" spans="2:8" x14ac:dyDescent="0.25">
      <c r="B6" t="s">
        <v>3</v>
      </c>
      <c r="C6" t="s">
        <v>1</v>
      </c>
      <c r="D6" s="1">
        <v>1856330</v>
      </c>
      <c r="E6" s="3">
        <f t="shared" si="0"/>
        <v>8.6526523588922169E-2</v>
      </c>
      <c r="G6" t="s">
        <v>4</v>
      </c>
      <c r="H6" s="3">
        <f>SUMIF($C$4:$C$11,G6,$E$4:$E$11)</f>
        <v>3.6525507455899359E-2</v>
      </c>
    </row>
    <row r="7" spans="2:8" x14ac:dyDescent="0.25">
      <c r="B7" t="s">
        <v>3</v>
      </c>
      <c r="C7" t="s">
        <v>2</v>
      </c>
      <c r="D7" s="1">
        <v>4856431</v>
      </c>
      <c r="E7" s="3">
        <f t="shared" si="0"/>
        <v>0.22636605101435245</v>
      </c>
      <c r="H7" s="3">
        <f>SUM(H4:H6)</f>
        <v>1</v>
      </c>
    </row>
    <row r="8" spans="2:8" x14ac:dyDescent="0.25">
      <c r="B8" t="s">
        <v>75</v>
      </c>
      <c r="C8" t="s">
        <v>4</v>
      </c>
      <c r="D8" s="1">
        <v>101057</v>
      </c>
      <c r="E8" s="3">
        <f t="shared" si="0"/>
        <v>4.7104291232300871E-3</v>
      </c>
    </row>
    <row r="9" spans="2:8" x14ac:dyDescent="0.25">
      <c r="B9" t="s">
        <v>76</v>
      </c>
      <c r="C9" t="s">
        <v>4</v>
      </c>
      <c r="D9" s="1">
        <v>682557</v>
      </c>
      <c r="E9" s="3">
        <f t="shared" si="0"/>
        <v>3.1815078332669271E-2</v>
      </c>
    </row>
    <row r="10" spans="2:8" x14ac:dyDescent="0.25">
      <c r="B10" t="s">
        <v>5</v>
      </c>
      <c r="C10" t="s">
        <v>1</v>
      </c>
      <c r="D10" s="1">
        <v>56389</v>
      </c>
      <c r="E10" s="3">
        <f t="shared" si="0"/>
        <v>2.6283818818075085E-3</v>
      </c>
    </row>
    <row r="11" spans="2:8" x14ac:dyDescent="0.25">
      <c r="B11" t="s">
        <v>6</v>
      </c>
      <c r="C11" t="s">
        <v>2</v>
      </c>
      <c r="D11" s="1">
        <v>206340</v>
      </c>
      <c r="E11" s="3">
        <f t="shared" si="0"/>
        <v>9.6178388957449384E-3</v>
      </c>
    </row>
    <row r="12" spans="2:8" x14ac:dyDescent="0.25">
      <c r="D12" s="2">
        <f>SUM(D4:D11)</f>
        <v>21453884</v>
      </c>
      <c r="E12" s="3">
        <f t="shared" si="0"/>
        <v>1</v>
      </c>
    </row>
    <row r="15" spans="2:8" x14ac:dyDescent="0.25">
      <c r="B15" s="5" t="s">
        <v>135</v>
      </c>
    </row>
    <row r="17" spans="2:4" x14ac:dyDescent="0.25">
      <c r="C17" s="8" t="s">
        <v>66</v>
      </c>
      <c r="D17" s="8" t="s">
        <v>83</v>
      </c>
    </row>
    <row r="18" spans="2:4" x14ac:dyDescent="0.25">
      <c r="B18" s="6" t="s">
        <v>7</v>
      </c>
      <c r="C18" s="7">
        <v>12.42</v>
      </c>
      <c r="D18" s="53">
        <f>C18*(1+'Assumed Values'!$C$16)^(2015-2013)</f>
        <v>12.719868479999999</v>
      </c>
    </row>
    <row r="19" spans="2:4" x14ac:dyDescent="0.25">
      <c r="B19" s="6" t="s">
        <v>8</v>
      </c>
      <c r="C19" s="7">
        <v>25.23</v>
      </c>
      <c r="D19" s="53">
        <f>C19*(1+'Assumed Values'!$C$16)^(2015-2013)</f>
        <v>25.839153119999999</v>
      </c>
    </row>
    <row r="20" spans="2:4" x14ac:dyDescent="0.25">
      <c r="B20" s="6" t="s">
        <v>4</v>
      </c>
      <c r="C20" s="7">
        <v>25.75</v>
      </c>
      <c r="D20" s="53">
        <f>C20*(1+'Assumed Values'!$C$16)^(2015-2013)</f>
        <v>26.371707999999998</v>
      </c>
    </row>
    <row r="21" spans="2:4" x14ac:dyDescent="0.25">
      <c r="B21" s="9" t="s">
        <v>9</v>
      </c>
      <c r="C21" s="10">
        <f>ROUND(SUMPRODUCT(C18:C20,H4:H6),2)</f>
        <v>15.72</v>
      </c>
      <c r="D21" s="10">
        <f>ROUND(SUMPRODUCT(D18:D20,H4:H6),2)</f>
        <v>16.100000000000001</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sheetPr>
  <dimension ref="B2:I24"/>
  <sheetViews>
    <sheetView zoomScale="85" zoomScaleNormal="85" workbookViewId="0">
      <selection activeCell="E33" sqref="E33"/>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s>
  <sheetData>
    <row r="2" spans="2:9" x14ac:dyDescent="0.25">
      <c r="B2" s="5" t="s">
        <v>136</v>
      </c>
    </row>
    <row r="4" spans="2:9" x14ac:dyDescent="0.25">
      <c r="B4" s="72" t="s">
        <v>94</v>
      </c>
      <c r="C4" s="72" t="s">
        <v>95</v>
      </c>
      <c r="D4" s="72" t="s">
        <v>96</v>
      </c>
      <c r="E4" s="72" t="s">
        <v>97</v>
      </c>
      <c r="F4" s="72" t="s">
        <v>110</v>
      </c>
    </row>
    <row r="5" spans="2:9" x14ac:dyDescent="0.25">
      <c r="B5" s="73" t="s">
        <v>311</v>
      </c>
      <c r="C5" s="73" t="s">
        <v>312</v>
      </c>
      <c r="D5" s="75">
        <v>0</v>
      </c>
      <c r="E5" s="74">
        <v>0</v>
      </c>
      <c r="F5" s="74">
        <f>E5*(1+'Assumed Values'!$C$8)^(2015-2013)</f>
        <v>0</v>
      </c>
    </row>
    <row r="6" spans="2:9" x14ac:dyDescent="0.25">
      <c r="B6" s="73" t="s">
        <v>98</v>
      </c>
      <c r="C6" s="73" t="s">
        <v>99</v>
      </c>
      <c r="D6" s="75">
        <v>3.0000000000000001E-3</v>
      </c>
      <c r="E6" s="74">
        <v>27600</v>
      </c>
      <c r="F6" s="74">
        <f>E6*(1+'Assumed Values'!$C$8)^(2015-2013)</f>
        <v>28761.908178929672</v>
      </c>
    </row>
    <row r="7" spans="2:9" x14ac:dyDescent="0.25">
      <c r="B7" s="73" t="s">
        <v>100</v>
      </c>
      <c r="C7" s="73" t="s">
        <v>101</v>
      </c>
      <c r="D7" s="75">
        <v>4.7E-2</v>
      </c>
      <c r="E7" s="74">
        <v>432400</v>
      </c>
      <c r="F7" s="74">
        <f>E7*(1+'Assumed Values'!$C$8)^(2015-2013)</f>
        <v>450603.22813656484</v>
      </c>
    </row>
    <row r="8" spans="2:9" x14ac:dyDescent="0.25">
      <c r="B8" s="73" t="s">
        <v>102</v>
      </c>
      <c r="C8" s="73" t="s">
        <v>103</v>
      </c>
      <c r="D8" s="75">
        <v>0.105</v>
      </c>
      <c r="E8" s="74">
        <v>966000</v>
      </c>
      <c r="F8" s="74">
        <f>E8*(1+'Assumed Values'!$C$8)^(2015-2013)</f>
        <v>1006666.7862625385</v>
      </c>
    </row>
    <row r="9" spans="2:9" x14ac:dyDescent="0.25">
      <c r="B9" s="73" t="s">
        <v>104</v>
      </c>
      <c r="C9" s="73" t="s">
        <v>105</v>
      </c>
      <c r="D9" s="75">
        <v>0.26600000000000001</v>
      </c>
      <c r="E9" s="74">
        <v>2447200</v>
      </c>
      <c r="F9" s="74">
        <f>E9*(1+'Assumed Values'!$C$8)^(2015-2013)</f>
        <v>2550222.5251984308</v>
      </c>
    </row>
    <row r="10" spans="2:9" x14ac:dyDescent="0.25">
      <c r="B10" s="73" t="s">
        <v>106</v>
      </c>
      <c r="C10" s="73" t="s">
        <v>107</v>
      </c>
      <c r="D10" s="75">
        <v>0.59299999999999997</v>
      </c>
      <c r="E10" s="74">
        <v>5455600</v>
      </c>
      <c r="F10" s="74">
        <f>E10*(1+'Assumed Values'!$C$8)^(2015-2013)</f>
        <v>5685270.5167017654</v>
      </c>
    </row>
    <row r="11" spans="2:9" x14ac:dyDescent="0.25">
      <c r="B11" s="73" t="s">
        <v>108</v>
      </c>
      <c r="C11" s="73" t="s">
        <v>109</v>
      </c>
      <c r="D11" s="75">
        <v>1</v>
      </c>
      <c r="E11" s="74">
        <v>9200000</v>
      </c>
      <c r="F11" s="74">
        <f>E11*(1+'Assumed Values'!$C$8)^(2015-2013)</f>
        <v>9587302.7263098899</v>
      </c>
    </row>
    <row r="14" spans="2:9" x14ac:dyDescent="0.25">
      <c r="B14" s="5" t="s">
        <v>314</v>
      </c>
    </row>
    <row r="16" spans="2:9" x14ac:dyDescent="0.25">
      <c r="B16" s="72" t="s">
        <v>94</v>
      </c>
      <c r="C16" s="103" t="s">
        <v>95</v>
      </c>
      <c r="D16" s="72" t="s">
        <v>145</v>
      </c>
      <c r="E16" s="72" t="s">
        <v>151</v>
      </c>
      <c r="F16" s="72" t="s">
        <v>150</v>
      </c>
      <c r="G16" s="72" t="s">
        <v>149</v>
      </c>
      <c r="H16" s="72" t="s">
        <v>148</v>
      </c>
      <c r="I16" s="72" t="s">
        <v>147</v>
      </c>
    </row>
    <row r="17" spans="2:9" x14ac:dyDescent="0.25">
      <c r="B17" s="72" t="s">
        <v>311</v>
      </c>
      <c r="C17" s="103" t="s">
        <v>312</v>
      </c>
      <c r="D17" s="104">
        <v>0</v>
      </c>
      <c r="E17" s="104">
        <v>3.4369999999999998E-2</v>
      </c>
      <c r="F17" s="104">
        <v>8.3470000000000003E-2</v>
      </c>
      <c r="G17" s="104">
        <v>0.23436999999999999</v>
      </c>
      <c r="H17" s="104">
        <v>0.92534000000000005</v>
      </c>
      <c r="I17" s="104">
        <v>0.43675999999999998</v>
      </c>
    </row>
    <row r="18" spans="2:9" x14ac:dyDescent="0.25">
      <c r="B18" s="72" t="s">
        <v>98</v>
      </c>
      <c r="C18" s="73" t="s">
        <v>99</v>
      </c>
      <c r="D18" s="104">
        <v>0</v>
      </c>
      <c r="E18" s="104">
        <v>0.55449000000000004</v>
      </c>
      <c r="F18" s="104">
        <v>0.76842999999999995</v>
      </c>
      <c r="G18" s="104">
        <v>0.68945999999999996</v>
      </c>
      <c r="H18" s="104">
        <v>7.2569999999999996E-2</v>
      </c>
      <c r="I18" s="104">
        <v>0.41738999999999998</v>
      </c>
    </row>
    <row r="19" spans="2:9" x14ac:dyDescent="0.25">
      <c r="B19" s="72" t="s">
        <v>100</v>
      </c>
      <c r="C19" s="73" t="s">
        <v>101</v>
      </c>
      <c r="D19" s="104">
        <v>0</v>
      </c>
      <c r="E19" s="104">
        <v>0.20907999999999999</v>
      </c>
      <c r="F19" s="104">
        <v>0.10897999999999999</v>
      </c>
      <c r="G19" s="104">
        <v>6.3909999999999995E-2</v>
      </c>
      <c r="H19" s="104">
        <v>1.98E-3</v>
      </c>
      <c r="I19" s="104">
        <v>8.8719999999999993E-2</v>
      </c>
    </row>
    <row r="20" spans="2:9" x14ac:dyDescent="0.25">
      <c r="B20" s="72" t="s">
        <v>102</v>
      </c>
      <c r="C20" s="73" t="s">
        <v>103</v>
      </c>
      <c r="D20" s="104">
        <v>0</v>
      </c>
      <c r="E20" s="104">
        <v>0.14437</v>
      </c>
      <c r="F20" s="104">
        <v>3.1910000000000001E-2</v>
      </c>
      <c r="G20" s="104">
        <v>1.0710000000000001E-2</v>
      </c>
      <c r="H20" s="104">
        <v>8.0000000000000007E-5</v>
      </c>
      <c r="I20" s="104">
        <v>4.8169999999999998E-2</v>
      </c>
    </row>
    <row r="21" spans="2:9" x14ac:dyDescent="0.25">
      <c r="B21" s="72" t="s">
        <v>104</v>
      </c>
      <c r="C21" s="73" t="s">
        <v>105</v>
      </c>
      <c r="D21" s="104">
        <v>0</v>
      </c>
      <c r="E21" s="104">
        <v>3.986E-2</v>
      </c>
      <c r="F21" s="104">
        <v>6.1999999999999998E-3</v>
      </c>
      <c r="G21" s="104">
        <v>1.42E-3</v>
      </c>
      <c r="H21" s="104">
        <v>0</v>
      </c>
      <c r="I21" s="104">
        <v>6.1700000000000001E-3</v>
      </c>
    </row>
    <row r="22" spans="2:9" x14ac:dyDescent="0.25">
      <c r="B22" s="72" t="s">
        <v>106</v>
      </c>
      <c r="C22" s="73" t="s">
        <v>107</v>
      </c>
      <c r="D22" s="104">
        <v>0</v>
      </c>
      <c r="E22" s="104">
        <v>1.7829999999999999E-2</v>
      </c>
      <c r="F22" s="104">
        <v>1.01E-3</v>
      </c>
      <c r="G22" s="104">
        <v>1.2999999999999999E-4</v>
      </c>
      <c r="H22" s="104">
        <v>3.0000000000000001E-5</v>
      </c>
      <c r="I22" s="104">
        <v>2.7899999999999999E-3</v>
      </c>
    </row>
    <row r="23" spans="2:9" x14ac:dyDescent="0.25">
      <c r="B23" s="72" t="s">
        <v>108</v>
      </c>
      <c r="C23" s="73" t="s">
        <v>109</v>
      </c>
      <c r="D23" s="104">
        <v>1</v>
      </c>
      <c r="E23" s="104">
        <v>0</v>
      </c>
      <c r="F23" s="104">
        <v>0</v>
      </c>
      <c r="G23" s="104">
        <v>0</v>
      </c>
      <c r="H23" s="104">
        <v>0</v>
      </c>
      <c r="I23" s="104">
        <v>0</v>
      </c>
    </row>
    <row r="24" spans="2:9" x14ac:dyDescent="0.25">
      <c r="B24" s="123" t="s">
        <v>313</v>
      </c>
      <c r="C24" s="123"/>
      <c r="D24" s="105">
        <f t="shared" ref="D24:I24" si="0">SUM(D17:D23)</f>
        <v>1</v>
      </c>
      <c r="E24" s="105">
        <f t="shared" si="0"/>
        <v>1</v>
      </c>
      <c r="F24" s="105">
        <f t="shared" si="0"/>
        <v>0.99999999999999989</v>
      </c>
      <c r="G24" s="105">
        <f t="shared" si="0"/>
        <v>0.99999999999999989</v>
      </c>
      <c r="H24" s="105">
        <f t="shared" si="0"/>
        <v>1</v>
      </c>
      <c r="I24" s="105">
        <f t="shared" si="0"/>
        <v>1</v>
      </c>
    </row>
  </sheetData>
  <mergeCells count="1">
    <mergeCell ref="B24:C2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44</vt:i4>
      </vt:variant>
    </vt:vector>
  </HeadingPairs>
  <TitlesOfParts>
    <vt:vector size="56" baseType="lpstr">
      <vt:lpstr>Instructions</vt:lpstr>
      <vt:lpstr>ITS Delay Worksheet</vt:lpstr>
      <vt:lpstr>Emissions Reduction Worksheet</vt:lpstr>
      <vt:lpstr>Inputs &amp; Outputs</vt:lpstr>
      <vt:lpstr>CRASH</vt:lpstr>
      <vt:lpstr>Calculations</vt:lpstr>
      <vt:lpstr>Assumed Values</vt:lpstr>
      <vt:lpstr>Value of Travel Time</vt:lpstr>
      <vt:lpstr>Value of Statistical Life</vt:lpstr>
      <vt:lpstr>Value of Emissions</vt:lpstr>
      <vt:lpstr>GDP Deflators</vt:lpstr>
      <vt:lpstr>CRASH SUM</vt:lpstr>
      <vt:lpstr>_2018_2025_Demand_Growth</vt:lpstr>
      <vt:lpstr>_2018_2025_V_C_Growth</vt:lpstr>
      <vt:lpstr>_2018_2040_Demand_Growth</vt:lpstr>
      <vt:lpstr>_2018_2040_V_C_Growth</vt:lpstr>
      <vt:lpstr>_2018_Capacity</vt:lpstr>
      <vt:lpstr>_2018_V_C_Ratio</vt:lpstr>
      <vt:lpstr>_2018_Volume</vt:lpstr>
      <vt:lpstr>_2025_2040_Demand_Growth</vt:lpstr>
      <vt:lpstr>_2025_2040_V_C_Growth</vt:lpstr>
      <vt:lpstr>_2025_Capacity</vt:lpstr>
      <vt:lpstr>_2025_V_C_Ratio</vt:lpstr>
      <vt:lpstr>_2025_Volume</vt:lpstr>
      <vt:lpstr>_2040_Capacity</vt:lpstr>
      <vt:lpstr>_2040_V_C_Ratio</vt:lpstr>
      <vt:lpstr>_2040_Volume</vt:lpstr>
      <vt:lpstr>Application_ID_Number</vt:lpstr>
      <vt:lpstr>Appropriate_Crash_Reduction_Factor</vt:lpstr>
      <vt:lpstr>Avg_Death_Cnt</vt:lpstr>
      <vt:lpstr>Avg_Incap_Injry_Cnt</vt:lpstr>
      <vt:lpstr>Avg_Non_Injry_Cnt</vt:lpstr>
      <vt:lpstr>Avg_Nonincap_Injry_Cnt</vt:lpstr>
      <vt:lpstr>Avg_Poss_Injry_Cnt</vt:lpstr>
      <vt:lpstr>Avg_Unkn_Injry_Cnt</vt:lpstr>
      <vt:lpstr>Base_Year</vt:lpstr>
      <vt:lpstr>Crash_Avg</vt:lpstr>
      <vt:lpstr>Crash_Hist_Reset</vt:lpstr>
      <vt:lpstr>Crash_Hist_Tab</vt:lpstr>
      <vt:lpstr>CRIS_Titles</vt:lpstr>
      <vt:lpstr>GDP_Deflator_Future</vt:lpstr>
      <vt:lpstr>Name</vt:lpstr>
      <vt:lpstr>Possible_Crash_Reductions</vt:lpstr>
      <vt:lpstr>Preventable_Crash_History</vt:lpstr>
      <vt:lpstr>'Assumed Values'!Print_Area</vt:lpstr>
      <vt:lpstr>Calculations!Print_Area</vt:lpstr>
      <vt:lpstr>'Emissions Reduction Worksheet'!Print_Area</vt:lpstr>
      <vt:lpstr>'Inputs &amp; Outputs'!Print_Area</vt:lpstr>
      <vt:lpstr>Instructions!Print_Area</vt:lpstr>
      <vt:lpstr>'ITS Delay Worksheet'!Print_Area</vt:lpstr>
      <vt:lpstr>Service_Life</vt:lpstr>
      <vt:lpstr>Sponsor_ID_Number__CSJ__etc.</vt:lpstr>
      <vt:lpstr>Value_of_Delay_Savings__2015_____000s</vt:lpstr>
      <vt:lpstr>Value_of_Statistical_Life_2015</vt:lpstr>
      <vt:lpstr>Year_Open_to_Traffic?</vt:lpstr>
      <vt:lpstr>Years_to_include_in_BCA_Analysis</vt:lpstr>
    </vt:vector>
  </TitlesOfParts>
  <Company>Houston-Galveston Area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Trey Haskins</cp:lastModifiedBy>
  <cp:lastPrinted>2014-11-11T16:55:33Z</cp:lastPrinted>
  <dcterms:created xsi:type="dcterms:W3CDTF">2012-07-25T15:48:32Z</dcterms:created>
  <dcterms:modified xsi:type="dcterms:W3CDTF">2015-01-09T22:59:32Z</dcterms:modified>
</cp:coreProperties>
</file>