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1 - TIP (Transportation Improvement Program)\2015-2018 Call for Projects\CR 403 Expansion (Hughes Ranch Road)\"/>
    </mc:Choice>
  </mc:AlternateContent>
  <bookViews>
    <workbookView xWindow="15" yWindow="45" windowWidth="15645" windowHeight="7980" tabRatio="763" activeTab="3"/>
  </bookViews>
  <sheets>
    <sheet name="Instructions" sheetId="8" r:id="rId1"/>
    <sheet name="ITS Delay Worksheet" sheetId="7" state="hidden" r:id="rId2"/>
    <sheet name="Emissions Reduction Worksheet" sheetId="5" state="hidden" r:id="rId3"/>
    <sheet name="Calculations" sheetId="12" r:id="rId4"/>
    <sheet name="Assumed Values" sheetId="2" r:id="rId5"/>
    <sheet name="Value of Travel Time" sheetId="1" r:id="rId6"/>
    <sheet name="Value of Statistical Life" sheetId="9" r:id="rId7"/>
    <sheet name="Value of Emissions" sheetId="6" r:id="rId8"/>
    <sheet name="GDP Deflators" sheetId="4" r:id="rId9"/>
  </sheets>
  <definedNames>
    <definedName name="_2018_2025_Demand_Growth">Calculations!$E$5</definedName>
    <definedName name="_2018_2025_V_C_Growth">Calculations!$E$11</definedName>
    <definedName name="_2018_2040_Demand_Growth">Calculations!$E$7</definedName>
    <definedName name="_2018_2040_V_C_Growth">Calculations!$E$13</definedName>
    <definedName name="_2018_Capacity">#REF!</definedName>
    <definedName name="_2018_V_C_Ratio">Calculations!$E$8</definedName>
    <definedName name="_2018_Volume">#REF!</definedName>
    <definedName name="_2025_2040_Demand_Growth">Calculations!$E$6</definedName>
    <definedName name="_2025_2040_V_C_Growth">Calculations!$E$12</definedName>
    <definedName name="_2025_Capacity">#REF!</definedName>
    <definedName name="_2025_V_C_Ratio">Calculations!$E$9</definedName>
    <definedName name="_2025_Volume">#REF!</definedName>
    <definedName name="_2040_Capacity">#REF!</definedName>
    <definedName name="_2040_V_C_Ratio">Calculations!$E$10</definedName>
    <definedName name="_2040_Volume">#REF!</definedName>
    <definedName name="Annual_Days_of_Travel">Calculations!#REF!</definedName>
    <definedName name="Application_ID_Number">Calculations!$B$5</definedName>
    <definedName name="Base_Year">Calculations!$B$15</definedName>
    <definedName name="Benefit_Values_YOE_Nominal?__1_if_yes__0_if_real">Calculations!$B$8</definedName>
    <definedName name="Discount_Rate">Calculations!#REF!</definedName>
    <definedName name="Future_Capital_Costs_Nominal_to_Real_Conversion_Rate">'Assumed Values'!$C$8</definedName>
    <definedName name="Initial_Year_of_Analysis?">Calculations!$B$7</definedName>
    <definedName name="Name">Calculations!$B$4</definedName>
    <definedName name="_xlnm.Print_Area" localSheetId="4">'Assumed Values'!$B$2:$C$30</definedName>
    <definedName name="_xlnm.Print_Area" localSheetId="3">Calculations!$A$3:$K$23</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Calculations!#REF!</definedName>
    <definedName name="Sponsor_ID_Number__CSJ__etc.">Calculations!$B$6</definedName>
    <definedName name="Value_of_Benefit_Savings__2015_____000s">Calculations!$K$3:$K$33</definedName>
    <definedName name="Value_of_Delay_Savings__2015_____000s">Calculations!$K$4:$K$33</definedName>
    <definedName name="Value_of_Travel_Time__VoTT___2015">Calculations!#REF!</definedName>
    <definedName name="Vehicle_Occupancy">Calculations!#REF!</definedName>
    <definedName name="Year_Open_to_Traffic?">Calculations!$B$7</definedName>
    <definedName name="Years_to_include_in_BCA_Analysis">Calculations!$B$16</definedName>
  </definedNames>
  <calcPr calcId="152511"/>
</workbook>
</file>

<file path=xl/calcChain.xml><?xml version="1.0" encoding="utf-8"?>
<calcChain xmlns="http://schemas.openxmlformats.org/spreadsheetml/2006/main">
  <c r="G4" i="12" l="1"/>
  <c r="D19" i="1" l="1"/>
  <c r="D20" i="1"/>
  <c r="D18" i="1"/>
  <c r="I4" i="12"/>
  <c r="G5" i="12" l="1"/>
  <c r="I5" i="12" l="1"/>
  <c r="G6" i="12"/>
  <c r="I6" i="12" l="1"/>
  <c r="G7" i="12"/>
  <c r="C21" i="2"/>
  <c r="B18" i="5" s="1"/>
  <c r="E17" i="5" s="1"/>
  <c r="C22" i="2"/>
  <c r="B19" i="5" s="1"/>
  <c r="E18" i="5" s="1"/>
  <c r="G4" i="7"/>
  <c r="H4" i="7" s="1"/>
  <c r="G4" i="5"/>
  <c r="G5" i="5" s="1"/>
  <c r="G6" i="5" s="1"/>
  <c r="G7" i="5" s="1"/>
  <c r="G8" i="5" s="1"/>
  <c r="G9" i="5" s="1"/>
  <c r="G10" i="5" s="1"/>
  <c r="G11" i="5" s="1"/>
  <c r="G12" i="5" s="1"/>
  <c r="G13" i="5" s="1"/>
  <c r="G14" i="5" s="1"/>
  <c r="B18" i="7"/>
  <c r="G5" i="7"/>
  <c r="G6" i="7" s="1"/>
  <c r="H6" i="7" s="1"/>
  <c r="B17" i="7"/>
  <c r="B16" i="7"/>
  <c r="E17" i="7"/>
  <c r="O6" i="4"/>
  <c r="K6" i="4"/>
  <c r="I6" i="4"/>
  <c r="B5" i="4"/>
  <c r="C5" i="4"/>
  <c r="D5" i="4"/>
  <c r="E5" i="4"/>
  <c r="F5" i="4"/>
  <c r="G5" i="4"/>
  <c r="H5" i="4"/>
  <c r="B6" i="4"/>
  <c r="C6" i="4"/>
  <c r="D6" i="4"/>
  <c r="E6" i="4"/>
  <c r="F6" i="4"/>
  <c r="G6" i="4"/>
  <c r="H6" i="4"/>
  <c r="J5" i="4"/>
  <c r="K5" i="4"/>
  <c r="L5" i="4"/>
  <c r="M5" i="4"/>
  <c r="N5" i="4"/>
  <c r="I5" i="4"/>
  <c r="J6" i="4"/>
  <c r="L6" i="4"/>
  <c r="M6" i="4"/>
  <c r="N6" i="4"/>
  <c r="D12" i="1"/>
  <c r="E9" i="1" s="1"/>
  <c r="I4" i="7" l="1"/>
  <c r="I6" i="7"/>
  <c r="P5" i="4"/>
  <c r="C8" i="2" s="1"/>
  <c r="J4" i="12" s="1"/>
  <c r="K4" i="12" s="1"/>
  <c r="H5" i="7"/>
  <c r="I5" i="7" s="1"/>
  <c r="E6" i="1"/>
  <c r="H14" i="5"/>
  <c r="J14" i="5"/>
  <c r="G15" i="5"/>
  <c r="J6" i="12"/>
  <c r="K6" i="12" s="1"/>
  <c r="E10" i="1"/>
  <c r="E5" i="1"/>
  <c r="E8" i="1"/>
  <c r="H6" i="1" s="1"/>
  <c r="H10" i="5"/>
  <c r="E7" i="1"/>
  <c r="E12" i="1"/>
  <c r="E11" i="1"/>
  <c r="G7" i="7"/>
  <c r="E4" i="1"/>
  <c r="H5" i="1" s="1"/>
  <c r="I7" i="12"/>
  <c r="D5" i="6"/>
  <c r="C20" i="2" s="1"/>
  <c r="B21" i="5" s="1"/>
  <c r="F7" i="9"/>
  <c r="F10" i="9"/>
  <c r="C11" i="2" s="1"/>
  <c r="F9" i="9"/>
  <c r="G8" i="12"/>
  <c r="H6" i="5"/>
  <c r="H11" i="5"/>
  <c r="J5" i="5"/>
  <c r="J13" i="5"/>
  <c r="J11" i="5"/>
  <c r="J10" i="5"/>
  <c r="J9" i="5"/>
  <c r="J4" i="5"/>
  <c r="J12" i="5"/>
  <c r="J8" i="5"/>
  <c r="J7" i="5"/>
  <c r="J6" i="5"/>
  <c r="H12" i="5"/>
  <c r="H4" i="5"/>
  <c r="H13" i="5"/>
  <c r="H5" i="5"/>
  <c r="H7" i="5"/>
  <c r="H8" i="5"/>
  <c r="H9" i="5"/>
  <c r="J5" i="12" l="1"/>
  <c r="K5" i="12" s="1"/>
  <c r="D4" i="6"/>
  <c r="C19" i="2" s="1"/>
  <c r="B20" i="5" s="1"/>
  <c r="F5" i="9"/>
  <c r="J7" i="12"/>
  <c r="K12" i="5"/>
  <c r="F8" i="9"/>
  <c r="F6" i="9"/>
  <c r="H7" i="7"/>
  <c r="I7" i="7" s="1"/>
  <c r="G8" i="7"/>
  <c r="H15" i="5"/>
  <c r="J15" i="5"/>
  <c r="K15" i="5" s="1"/>
  <c r="G16" i="5"/>
  <c r="H4" i="1"/>
  <c r="I8" i="12"/>
  <c r="J8" i="12"/>
  <c r="K7" i="12"/>
  <c r="K8" i="5"/>
  <c r="K7" i="5"/>
  <c r="K5" i="5"/>
  <c r="K6" i="5"/>
  <c r="K14" i="5"/>
  <c r="K13" i="5"/>
  <c r="K11" i="5"/>
  <c r="K10" i="5"/>
  <c r="K9" i="5"/>
  <c r="K4" i="5"/>
  <c r="I13" i="5"/>
  <c r="G9" i="12"/>
  <c r="I7" i="5"/>
  <c r="I8" i="5"/>
  <c r="I10" i="5"/>
  <c r="I9" i="5"/>
  <c r="I14" i="5"/>
  <c r="I15" i="5"/>
  <c r="I12" i="5"/>
  <c r="I5" i="5"/>
  <c r="I6" i="5"/>
  <c r="I11" i="5"/>
  <c r="I4" i="5"/>
  <c r="H7" i="1" l="1"/>
  <c r="C21" i="1"/>
  <c r="D21" i="1"/>
  <c r="C15" i="2" s="1"/>
  <c r="B19" i="7" s="1"/>
  <c r="J5" i="7" s="1"/>
  <c r="G9" i="7"/>
  <c r="H8" i="7"/>
  <c r="I8" i="7"/>
  <c r="J16" i="5"/>
  <c r="K16" i="5" s="1"/>
  <c r="G17" i="5"/>
  <c r="H16" i="5"/>
  <c r="I9" i="12"/>
  <c r="J9" i="12"/>
  <c r="K8" i="12"/>
  <c r="G10" i="12"/>
  <c r="J10" i="12" s="1"/>
  <c r="J6" i="7" l="1"/>
  <c r="J8" i="7"/>
  <c r="J4" i="7"/>
  <c r="J7" i="7"/>
  <c r="H17" i="5"/>
  <c r="I17" i="5" s="1"/>
  <c r="J17" i="5"/>
  <c r="K17" i="5" s="1"/>
  <c r="G18" i="5"/>
  <c r="G10" i="7"/>
  <c r="H9" i="7"/>
  <c r="I9" i="7" s="1"/>
  <c r="J9" i="7" s="1"/>
  <c r="I16" i="5"/>
  <c r="K9" i="12"/>
  <c r="I10" i="12"/>
  <c r="K10" i="12" s="1"/>
  <c r="G11" i="12"/>
  <c r="J11" i="12" s="1"/>
  <c r="B11" i="7"/>
  <c r="B12" i="7" s="1"/>
  <c r="H18" i="5" l="1"/>
  <c r="J18" i="5"/>
  <c r="K18" i="5" s="1"/>
  <c r="G19" i="5"/>
  <c r="H10" i="7"/>
  <c r="I10" i="7" s="1"/>
  <c r="J10" i="7" s="1"/>
  <c r="G11" i="7"/>
  <c r="I11" i="12"/>
  <c r="K11" i="12" s="1"/>
  <c r="G12" i="12"/>
  <c r="J12" i="12" s="1"/>
  <c r="H11" i="7" l="1"/>
  <c r="I11" i="7" s="1"/>
  <c r="J11" i="7" s="1"/>
  <c r="G12" i="7"/>
  <c r="H19" i="5"/>
  <c r="I19" i="5" s="1"/>
  <c r="J19" i="5"/>
  <c r="K19" i="5" s="1"/>
  <c r="G20" i="5"/>
  <c r="I18" i="5"/>
  <c r="I12" i="12"/>
  <c r="K12" i="12" s="1"/>
  <c r="G13" i="12"/>
  <c r="J13" i="12" s="1"/>
  <c r="G13" i="7" l="1"/>
  <c r="H12" i="7"/>
  <c r="I12" i="7"/>
  <c r="J12" i="7" s="1"/>
  <c r="J20" i="5"/>
  <c r="K20" i="5" s="1"/>
  <c r="G21" i="5"/>
  <c r="H20" i="5"/>
  <c r="I13" i="12"/>
  <c r="K13" i="12" s="1"/>
  <c r="G14" i="12"/>
  <c r="J14" i="12" s="1"/>
  <c r="I20" i="5" l="1"/>
  <c r="H21" i="5"/>
  <c r="I21" i="5" s="1"/>
  <c r="J21" i="5"/>
  <c r="K21" i="5" s="1"/>
  <c r="G22" i="5"/>
  <c r="G14" i="7"/>
  <c r="H13" i="7"/>
  <c r="I13" i="7" s="1"/>
  <c r="J13" i="7" s="1"/>
  <c r="I14" i="12"/>
  <c r="K14" i="12" s="1"/>
  <c r="G15" i="12"/>
  <c r="J15" i="12" s="1"/>
  <c r="H14" i="7" l="1"/>
  <c r="I14" i="7" s="1"/>
  <c r="J14" i="7" s="1"/>
  <c r="G15" i="7"/>
  <c r="H22" i="5"/>
  <c r="J22" i="5"/>
  <c r="K22" i="5" s="1"/>
  <c r="G23" i="5"/>
  <c r="I15" i="12"/>
  <c r="K15" i="12" s="1"/>
  <c r="G16" i="12"/>
  <c r="J16" i="12" s="1"/>
  <c r="I22" i="5" l="1"/>
  <c r="H23" i="5"/>
  <c r="I23" i="5" s="1"/>
  <c r="J23" i="5"/>
  <c r="K23" i="5" s="1"/>
  <c r="G24" i="5"/>
  <c r="H15" i="7"/>
  <c r="I15" i="7" s="1"/>
  <c r="J15" i="7" s="1"/>
  <c r="G16" i="7"/>
  <c r="I16" i="12"/>
  <c r="K16" i="12" s="1"/>
  <c r="G17" i="12"/>
  <c r="J17" i="12" s="1"/>
  <c r="J24" i="5" l="1"/>
  <c r="K24" i="5" s="1"/>
  <c r="G25" i="5"/>
  <c r="H24" i="5"/>
  <c r="G17" i="7"/>
  <c r="H16" i="7"/>
  <c r="I16" i="7" s="1"/>
  <c r="J16" i="7" s="1"/>
  <c r="I17" i="12"/>
  <c r="K17" i="12" s="1"/>
  <c r="G18" i="12"/>
  <c r="J18" i="12" s="1"/>
  <c r="G18" i="7" l="1"/>
  <c r="H17" i="7"/>
  <c r="I17" i="7" s="1"/>
  <c r="J17" i="7" s="1"/>
  <c r="I24" i="5"/>
  <c r="B11" i="5" s="1"/>
  <c r="B12" i="5" s="1"/>
  <c r="H25" i="5"/>
  <c r="I25" i="5" s="1"/>
  <c r="J25" i="5"/>
  <c r="K25" i="5" s="1"/>
  <c r="G26" i="5"/>
  <c r="I18" i="12"/>
  <c r="K18" i="12" s="1"/>
  <c r="G19" i="12"/>
  <c r="J19" i="12" s="1"/>
  <c r="H26" i="5" l="1"/>
  <c r="I26" i="5" s="1"/>
  <c r="J26" i="5"/>
  <c r="K26" i="5" s="1"/>
  <c r="G27" i="5"/>
  <c r="H18" i="7"/>
  <c r="I18" i="7" s="1"/>
  <c r="J18" i="7" s="1"/>
  <c r="G19" i="7"/>
  <c r="I19" i="12"/>
  <c r="K19" i="12" s="1"/>
  <c r="G20" i="12"/>
  <c r="J20" i="12" s="1"/>
  <c r="H27" i="5" l="1"/>
  <c r="I27" i="5" s="1"/>
  <c r="J27" i="5"/>
  <c r="K27" i="5" s="1"/>
  <c r="G28" i="5"/>
  <c r="H19" i="7"/>
  <c r="I19" i="7" s="1"/>
  <c r="J19" i="7" s="1"/>
  <c r="G20" i="7"/>
  <c r="I20" i="12"/>
  <c r="K20" i="12" s="1"/>
  <c r="G21" i="12"/>
  <c r="J28" i="5" l="1"/>
  <c r="K28" i="5" s="1"/>
  <c r="G29" i="5"/>
  <c r="H28" i="5"/>
  <c r="I28" i="5" s="1"/>
  <c r="J21" i="12"/>
  <c r="G22" i="12"/>
  <c r="G21" i="7"/>
  <c r="H20" i="7"/>
  <c r="I20" i="7"/>
  <c r="J20" i="7" s="1"/>
  <c r="I21" i="12"/>
  <c r="K21" i="12" l="1"/>
  <c r="G23" i="12"/>
  <c r="I22" i="12"/>
  <c r="J22" i="12"/>
  <c r="G22" i="7"/>
  <c r="H21" i="7"/>
  <c r="I21" i="7" s="1"/>
  <c r="J21" i="7" s="1"/>
  <c r="H29" i="5"/>
  <c r="J29" i="5"/>
  <c r="K29" i="5" s="1"/>
  <c r="K22" i="12" l="1"/>
  <c r="I23" i="12"/>
  <c r="G24" i="12"/>
  <c r="J23" i="12"/>
  <c r="I29" i="5"/>
  <c r="B13" i="5"/>
  <c r="H22" i="7"/>
  <c r="I22" i="7" s="1"/>
  <c r="J22" i="7" s="1"/>
  <c r="G23" i="7"/>
  <c r="K23" i="12" l="1"/>
  <c r="G25" i="12"/>
  <c r="I24" i="12"/>
  <c r="J24" i="12"/>
  <c r="H23" i="7"/>
  <c r="I23" i="7" s="1"/>
  <c r="J23" i="7" s="1"/>
  <c r="G24" i="7"/>
  <c r="G25" i="7" l="1"/>
  <c r="H24" i="7"/>
  <c r="I24" i="7" s="1"/>
  <c r="J24" i="7" s="1"/>
  <c r="K24" i="12"/>
  <c r="I25" i="12"/>
  <c r="G26" i="12"/>
  <c r="J25" i="12"/>
  <c r="G27" i="12" l="1"/>
  <c r="I26" i="12"/>
  <c r="J26" i="12"/>
  <c r="K25" i="12"/>
  <c r="G26" i="7"/>
  <c r="H25" i="7"/>
  <c r="I25" i="7" s="1"/>
  <c r="J25" i="7" s="1"/>
  <c r="K26" i="12" l="1"/>
  <c r="I27" i="12"/>
  <c r="G28" i="12"/>
  <c r="J27" i="12"/>
  <c r="H26" i="7"/>
  <c r="I26" i="7" s="1"/>
  <c r="J26" i="7" s="1"/>
  <c r="G27" i="7"/>
  <c r="K27" i="12" l="1"/>
  <c r="H27" i="7"/>
  <c r="I27" i="7" s="1"/>
  <c r="J27" i="7" s="1"/>
  <c r="G28" i="7"/>
  <c r="J28" i="12"/>
  <c r="I28" i="12"/>
  <c r="G29" i="12"/>
  <c r="G29" i="7" l="1"/>
  <c r="H28" i="7"/>
  <c r="I28" i="7" s="1"/>
  <c r="J28" i="7" s="1"/>
  <c r="G30" i="12"/>
  <c r="I29" i="12"/>
  <c r="J29" i="12"/>
  <c r="K28" i="12"/>
  <c r="G31" i="12" l="1"/>
  <c r="J30" i="12"/>
  <c r="I30" i="12"/>
  <c r="K30" i="12" s="1"/>
  <c r="K29" i="12"/>
  <c r="H29" i="7"/>
  <c r="I29" i="7" s="1"/>
  <c r="J29" i="7" s="1"/>
  <c r="J31" i="12" l="1"/>
  <c r="I31" i="12"/>
  <c r="K31" i="12" s="1"/>
  <c r="G32" i="12"/>
  <c r="J32" i="12" l="1"/>
  <c r="G33" i="12"/>
  <c r="I32" i="12"/>
  <c r="K32" i="12" s="1"/>
  <c r="J33" i="12" l="1"/>
  <c r="I33" i="12"/>
  <c r="K33" i="12" s="1"/>
  <c r="B12" i="12" l="1"/>
  <c r="B11" i="12"/>
</calcChain>
</file>

<file path=xl/sharedStrings.xml><?xml version="1.0" encoding="utf-8"?>
<sst xmlns="http://schemas.openxmlformats.org/spreadsheetml/2006/main" count="169" uniqueCount="126">
  <si>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</si>
  <si>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</si>
  <si>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</si>
  <si>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</si>
  <si>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</si>
  <si>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</si>
  <si>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</si>
  <si>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</si>
  <si>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</si>
  <si>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</si>
  <si>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</si>
  <si>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</si>
  <si>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</si>
  <si>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</si>
  <si>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</si>
  <si>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</si>
  <si>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</si>
  <si>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</si>
  <si>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</si>
  <si>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</si>
  <si>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</si>
  <si>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</si>
  <si>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</si>
  <si>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</si>
  <si>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</si>
  <si>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</si>
  <si>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</si>
  <si>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</si>
  <si>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</si>
  <si>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</si>
  <si>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</si>
  <si>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</si>
  <si>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</si>
  <si>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</si>
  <si>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</si>
  <si>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</si>
  <si>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</si>
  <si>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</si>
  <si>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</si>
  <si>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</si>
  <si>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</si>
  <si>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</si>
  <si>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</si>
  <si>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</si>
  <si>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</si>
  <si>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</si>
  <si>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</si>
  <si>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</si>
  <si>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</si>
  <si>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</si>
  <si>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</si>
  <si>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</si>
  <si>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</si>
  <si>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</si>
  <si>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</si>
  <si>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</si>
  <si>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</si>
  <si>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</si>
  <si>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</si>
  <si>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</si>
  <si>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</si>
  <si>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</si>
  <si>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</si>
  <si>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</si>
  <si>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</si>
  <si>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</si>
  <si>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</si>
  <si>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</si>
  <si>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</si>
  <si>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</si>
  <si>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</si>
  <si>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</si>
  <si>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</si>
  <si>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</si>
  <si>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</si>
  <si>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</si>
  <si>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</si>
  <si>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</si>
  <si>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</si>
  <si>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</si>
  <si>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</si>
  <si>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</si>
  <si>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</si>
  <si>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</si>
  <si>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</si>
  <si>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Discounted Delay Benefits @ 7% (2015 $, '000s)</t>
  </si>
  <si>
    <t>Discounted Delay Benefits @ 3% (2015 $, '000s)</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</si>
  <si>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</si>
  <si>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</si>
  <si>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</si>
  <si>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</si>
  <si>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</si>
  <si>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</si>
  <si>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</si>
  <si>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</si>
  <si>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</si>
  <si>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</si>
  <si>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</si>
  <si>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</si>
  <si>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</si>
  <si>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</si>
  <si>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</si>
  <si>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</si>
  <si>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</si>
  <si>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</si>
  <si>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</si>
  <si>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</si>
  <si>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</si>
  <si>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Application ID Number:</t>
  </si>
  <si>
    <t>Sponsor ID Number (CSJ, etc.):</t>
  </si>
  <si>
    <t>Use in Analysis?</t>
  </si>
  <si>
    <t>Real wage growth rate</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</si>
  <si>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</si>
  <si>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</si>
  <si>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</si>
  <si>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</si>
  <si>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</si>
  <si>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</si>
  <si>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Value of Benefit Savings (2015 $, '000s)</t>
  </si>
  <si>
    <r>
      <t xml:space="preserve">Years to include in BCA Analysis </t>
    </r>
    <r>
      <rPr>
        <b/>
        <sz val="11"/>
        <color theme="1"/>
        <rFont val="Calibri"/>
        <family val="2"/>
        <scheme val="minor"/>
      </rPr>
      <t>(20 years max)</t>
    </r>
  </si>
  <si>
    <t>Initial Year of Analysis?</t>
  </si>
  <si>
    <t>Annual Benefit Savings</t>
  </si>
  <si>
    <t>YOE/Nominal to Real Multiplier</t>
  </si>
  <si>
    <t>Benefit Values Nominal/YOE? (1 if yes, 0 if real)</t>
  </si>
  <si>
    <t>Hughes Ranch</t>
  </si>
  <si>
    <t>MPOID 671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</si>
</sst>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solid">
        <fgColor theme="5" tint="0.59999389629810485"/>
        <bgColor theme="8"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89">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2" borderId="1" xfId="0" applyFill="1" applyBorder="1"/>
    <xf numFmtId="9" fontId="0" fillId="12" borderId="1" xfId="0" applyNumberFormat="1" applyFill="1" applyBorder="1"/>
    <xf numFmtId="165" fontId="0" fillId="12" borderId="1" xfId="0" applyNumberFormat="1" applyFill="1" applyBorder="1"/>
    <xf numFmtId="0" fontId="0" fillId="12" borderId="2" xfId="0" applyFill="1" applyBorder="1"/>
    <xf numFmtId="3" fontId="0" fillId="12" borderId="3" xfId="0" applyNumberFormat="1" applyFill="1" applyBorder="1"/>
    <xf numFmtId="2" fontId="0" fillId="12" borderId="1" xfId="0" applyNumberFormat="1" applyFill="1" applyBorder="1"/>
    <xf numFmtId="3" fontId="0" fillId="13"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0" borderId="1" xfId="0" applyFont="1" applyFill="1" applyBorder="1" applyAlignment="1">
      <alignment horizontal="center"/>
    </xf>
    <xf numFmtId="0" fontId="0" fillId="0" borderId="0" xfId="0" applyAlignment="1">
      <alignment vertical="top"/>
    </xf>
    <xf numFmtId="0" fontId="0" fillId="12"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1" borderId="1" xfId="0" applyFont="1" applyFill="1" applyBorder="1"/>
    <xf numFmtId="169" fontId="0" fillId="12" borderId="3" xfId="0" applyNumberFormat="1" applyFill="1" applyBorder="1"/>
    <xf numFmtId="165" fontId="0" fillId="7" borderId="1" xfId="2" applyNumberFormat="1" applyFont="1" applyFill="1" applyBorder="1" applyAlignment="1">
      <alignment horizontal="center"/>
    </xf>
    <xf numFmtId="166" fontId="0" fillId="12" borderId="1" xfId="0" applyNumberFormat="1" applyFill="1" applyBorder="1"/>
    <xf numFmtId="165" fontId="0" fillId="7" borderId="1" xfId="2" applyNumberFormat="1" applyFont="1" applyFill="1" applyBorder="1" applyAlignment="1" applyProtection="1">
      <alignment horizontal="center"/>
    </xf>
    <xf numFmtId="168"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2" borderId="1" xfId="3" applyNumberFormat="1" applyFont="1" applyFill="1" applyBorder="1"/>
    <xf numFmtId="166" fontId="0" fillId="5" borderId="1" xfId="0" applyNumberFormat="1" applyFill="1" applyBorder="1"/>
    <xf numFmtId="168" fontId="0" fillId="12"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4"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65" fontId="0" fillId="15" borderId="1" xfId="2" applyNumberFormat="1" applyFont="1" applyFill="1" applyBorder="1" applyAlignment="1">
      <alignment horizontal="center"/>
    </xf>
    <xf numFmtId="0" fontId="0" fillId="8" borderId="1" xfId="0" applyFont="1" applyFill="1" applyBorder="1" applyAlignment="1">
      <alignment horizontal="center"/>
    </xf>
    <xf numFmtId="0" fontId="0" fillId="0" borderId="1" xfId="0" applyFill="1" applyBorder="1"/>
    <xf numFmtId="170" fontId="0" fillId="0" borderId="1" xfId="3" applyNumberFormat="1" applyFont="1" applyFill="1" applyBorder="1"/>
    <xf numFmtId="3" fontId="0" fillId="8" borderId="1" xfId="0" applyNumberFormat="1" applyFont="1" applyFill="1" applyBorder="1" applyAlignment="1" applyProtection="1">
      <alignment horizontal="center"/>
    </xf>
    <xf numFmtId="3" fontId="0" fillId="12" borderId="1" xfId="0" applyNumberFormat="1" applyFill="1" applyBorder="1"/>
    <xf numFmtId="4" fontId="0" fillId="8" borderId="1" xfId="0" applyNumberFormat="1" applyFont="1" applyFill="1" applyBorder="1" applyAlignment="1" applyProtection="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175846</xdr:rowOff>
    </xdr:to>
    <xdr:sp macro="" textlink="">
      <xdr:nvSpPr>
        <xdr:cNvPr id="2" name="TextBox 1"/>
        <xdr:cNvSpPr txBox="1"/>
      </xdr:nvSpPr>
      <xdr:spPr>
        <a:xfrm>
          <a:off x="100854" y="123265"/>
          <a:ext cx="6650109" cy="1767081"/>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"Calculations</a:t>
          </a:r>
          <a:r>
            <a:rPr lang="en-US" sz="1100" b="0" baseline="0">
              <a:solidFill>
                <a:schemeClr val="bg1"/>
              </a:solidFill>
            </a:rPr>
            <a:t>" tab, f</a:t>
          </a:r>
          <a:r>
            <a:rPr lang="en-US" sz="1100" b="0">
              <a:solidFill>
                <a:schemeClr val="bg1"/>
              </a:solidFill>
            </a:rPr>
            <a:t>ill in the "blue" shaded section ("Project Information")</a:t>
          </a:r>
          <a:r>
            <a:rPr lang="en-US" sz="1100" b="0" baseline="0">
              <a:solidFill>
                <a:schemeClr val="bg1"/>
              </a:solidFill>
            </a:rPr>
            <a:t> and enter the stream of annual benefit values you wish to discount in the "purple" shaded section. </a:t>
          </a:r>
        </a:p>
        <a:p>
          <a:endParaRPr lang="en-US" sz="1100" b="0" baseline="0">
            <a:solidFill>
              <a:schemeClr val="bg1"/>
            </a:solidFill>
          </a:endParaRPr>
        </a:p>
        <a:p>
          <a:r>
            <a:rPr lang="en-US" sz="1100" b="1" i="1" baseline="0">
              <a:solidFill>
                <a:schemeClr val="bg1"/>
              </a:solidFill>
            </a:rPr>
            <a:t>NOTE: If benefits are denominated as expected future cash values (nominal or year-of-expenditure), please enter a "1" in the "Benefit Values YOE/Nominal?" field. Alternatively, if the benefits are denominated in current cash values which do not include future inflation (real), please enter a "0".</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moser.tamu.edu/docs/Texas.Guide.to.Accepted.Mobile.Source.Emission.Reduction.Strategies_August.2007.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7"/>
  <sheetViews>
    <sheetView zoomScale="130" zoomScaleNormal="130" workbookViewId="0">
      <selection activeCell="A13" sqref="A13"/>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3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14" t="s">
        <v>13</v>
      </c>
      <c r="D3" s="14" t="s">
        <v>31</v>
      </c>
      <c r="E3" s="15" t="s">
        <v>22</v>
      </c>
      <c r="G3" s="21" t="s">
        <v>26</v>
      </c>
      <c r="H3" s="21"/>
      <c r="I3" s="21" t="s">
        <v>32</v>
      </c>
      <c r="J3" s="21" t="s">
        <v>70</v>
      </c>
    </row>
    <row r="4" spans="1:10" x14ac:dyDescent="0.25">
      <c r="A4" s="12" t="s">
        <v>18</v>
      </c>
      <c r="B4" s="13"/>
      <c r="D4" s="12" t="s">
        <v>67</v>
      </c>
      <c r="E4" s="69">
        <v>2015</v>
      </c>
      <c r="G4" s="19">
        <f>E4</f>
        <v>2015</v>
      </c>
      <c r="H4" s="19">
        <f>IF(G4&lt;2041,1,0)</f>
        <v>1</v>
      </c>
      <c r="I4" s="29">
        <f>IF($G4&lt;($G$4+$E$5),$E$17,0)*H4</f>
        <v>0</v>
      </c>
      <c r="J4" s="57">
        <f>I4*$B$18*$B$19/10^3</f>
        <v>0</v>
      </c>
    </row>
    <row r="5" spans="1:10" x14ac:dyDescent="0.25">
      <c r="A5" s="12" t="s">
        <v>19</v>
      </c>
      <c r="B5" s="13"/>
      <c r="D5" s="12" t="s">
        <v>56</v>
      </c>
      <c r="E5" s="16">
        <v>10</v>
      </c>
      <c r="G5" s="20">
        <f t="shared" ref="G5:G29" si="0">G4+1</f>
        <v>2016</v>
      </c>
      <c r="H5" s="20">
        <f t="shared" ref="H5:H29" si="1">IF(G5&lt;2041,1,0)</f>
        <v>1</v>
      </c>
      <c r="I5" s="29">
        <f t="shared" ref="I5:I29" si="2">IF($G5&lt;($G$4+$E$5),$E$17,0)*H5</f>
        <v>0</v>
      </c>
      <c r="J5" s="64">
        <f t="shared" ref="J5:J24" si="3">I5*$B$18*$B$19/10^3</f>
        <v>0</v>
      </c>
    </row>
    <row r="6" spans="1:10" x14ac:dyDescent="0.25">
      <c r="A6" s="12" t="s">
        <v>20</v>
      </c>
      <c r="B6" s="13">
        <v>1</v>
      </c>
      <c r="D6" s="85" t="s">
        <v>54</v>
      </c>
      <c r="E6" s="86"/>
      <c r="G6" s="19">
        <f t="shared" si="0"/>
        <v>2017</v>
      </c>
      <c r="H6" s="19">
        <f t="shared" si="1"/>
        <v>1</v>
      </c>
      <c r="I6" s="29">
        <f t="shared" si="2"/>
        <v>0</v>
      </c>
      <c r="J6" s="57">
        <f t="shared" si="3"/>
        <v>0</v>
      </c>
    </row>
    <row r="7" spans="1:10" x14ac:dyDescent="0.25">
      <c r="A7" s="12" t="s">
        <v>68</v>
      </c>
      <c r="B7" s="32"/>
      <c r="D7" s="12" t="s">
        <v>64</v>
      </c>
      <c r="E7" s="16"/>
      <c r="G7" s="20">
        <f t="shared" si="0"/>
        <v>2018</v>
      </c>
      <c r="H7" s="20">
        <f t="shared" si="1"/>
        <v>1</v>
      </c>
      <c r="I7" s="29">
        <f t="shared" si="2"/>
        <v>0</v>
      </c>
      <c r="J7" s="64">
        <f t="shared" si="3"/>
        <v>0</v>
      </c>
    </row>
    <row r="8" spans="1:10" x14ac:dyDescent="0.25">
      <c r="A8" s="31" t="s">
        <v>69</v>
      </c>
      <c r="B8" s="32"/>
      <c r="D8" s="12" t="s">
        <v>62</v>
      </c>
      <c r="E8" s="68">
        <v>1.1499999999999999</v>
      </c>
      <c r="G8" s="19">
        <f t="shared" si="0"/>
        <v>2019</v>
      </c>
      <c r="H8" s="19">
        <f t="shared" si="1"/>
        <v>1</v>
      </c>
      <c r="I8" s="29">
        <f t="shared" si="2"/>
        <v>0</v>
      </c>
      <c r="J8" s="57">
        <f t="shared" si="3"/>
        <v>0</v>
      </c>
    </row>
    <row r="9" spans="1:10" x14ac:dyDescent="0.25">
      <c r="G9" s="20">
        <f t="shared" si="0"/>
        <v>2020</v>
      </c>
      <c r="H9" s="20">
        <f t="shared" si="1"/>
        <v>1</v>
      </c>
      <c r="I9" s="29">
        <f t="shared" si="2"/>
        <v>0</v>
      </c>
      <c r="J9" s="64">
        <f t="shared" si="3"/>
        <v>0</v>
      </c>
    </row>
    <row r="10" spans="1:10" x14ac:dyDescent="0.25">
      <c r="A10" s="18" t="s">
        <v>30</v>
      </c>
      <c r="G10" s="19">
        <f t="shared" si="0"/>
        <v>2021</v>
      </c>
      <c r="H10" s="19">
        <f t="shared" si="1"/>
        <v>1</v>
      </c>
      <c r="I10" s="29">
        <f t="shared" si="2"/>
        <v>0</v>
      </c>
      <c r="J10" s="57">
        <f t="shared" si="3"/>
        <v>0</v>
      </c>
    </row>
    <row r="11" spans="1:10" x14ac:dyDescent="0.25">
      <c r="A11" s="17" t="s">
        <v>66</v>
      </c>
      <c r="B11" s="66" t="e">
        <f>NPV($B$17,J4:J29)/(1+$B$17)^(E4-B16+1)</f>
        <v>#VALUE!</v>
      </c>
      <c r="G11" s="20">
        <f t="shared" si="0"/>
        <v>2022</v>
      </c>
      <c r="H11" s="20">
        <f t="shared" si="1"/>
        <v>1</v>
      </c>
      <c r="I11" s="29">
        <f t="shared" si="2"/>
        <v>0</v>
      </c>
      <c r="J11" s="64">
        <f t="shared" si="3"/>
        <v>0</v>
      </c>
    </row>
    <row r="12" spans="1:10" x14ac:dyDescent="0.25">
      <c r="A12" s="17" t="s">
        <v>29</v>
      </c>
      <c r="B12" s="63" t="e">
        <f>B11/B7</f>
        <v>#VALUE!</v>
      </c>
      <c r="G12" s="19">
        <f t="shared" si="0"/>
        <v>2023</v>
      </c>
      <c r="H12" s="19">
        <f t="shared" si="1"/>
        <v>1</v>
      </c>
      <c r="I12" s="29">
        <f t="shared" si="2"/>
        <v>0</v>
      </c>
      <c r="J12" s="57">
        <f t="shared" si="3"/>
        <v>0</v>
      </c>
    </row>
    <row r="13" spans="1:10" x14ac:dyDescent="0.25">
      <c r="G13" s="20">
        <f t="shared" si="0"/>
        <v>2024</v>
      </c>
      <c r="H13" s="20">
        <f t="shared" si="1"/>
        <v>1</v>
      </c>
      <c r="I13" s="29">
        <f t="shared" si="2"/>
        <v>0</v>
      </c>
      <c r="J13" s="64">
        <f t="shared" si="3"/>
        <v>0</v>
      </c>
    </row>
    <row r="14" spans="1:10" x14ac:dyDescent="0.25">
      <c r="G14" s="19">
        <f>G13+1</f>
        <v>2025</v>
      </c>
      <c r="H14" s="19">
        <f t="shared" si="1"/>
        <v>1</v>
      </c>
      <c r="I14" s="29">
        <f t="shared" si="2"/>
        <v>0</v>
      </c>
      <c r="J14" s="57">
        <f t="shared" si="3"/>
        <v>0</v>
      </c>
    </row>
    <row r="15" spans="1:10" x14ac:dyDescent="0.25">
      <c r="A15" s="22" t="s">
        <v>14</v>
      </c>
      <c r="G15" s="20">
        <f t="shared" si="0"/>
        <v>2026</v>
      </c>
      <c r="H15" s="20">
        <f t="shared" si="1"/>
        <v>1</v>
      </c>
      <c r="I15" s="29">
        <f t="shared" si="2"/>
        <v>0</v>
      </c>
      <c r="J15" s="64">
        <f t="shared" si="3"/>
        <v>0</v>
      </c>
    </row>
    <row r="16" spans="1:10" x14ac:dyDescent="0.25">
      <c r="A16" s="23" t="s">
        <v>15</v>
      </c>
      <c r="B16" s="35">
        <f>'Assumed Values'!C5</f>
        <v>2015</v>
      </c>
      <c r="D16" s="22" t="s">
        <v>27</v>
      </c>
      <c r="E16" s="33" t="s">
        <v>22</v>
      </c>
      <c r="G16" s="19">
        <f t="shared" si="0"/>
        <v>2027</v>
      </c>
      <c r="H16" s="19">
        <f t="shared" si="1"/>
        <v>1</v>
      </c>
      <c r="I16" s="29">
        <f t="shared" si="2"/>
        <v>0</v>
      </c>
      <c r="J16" s="57">
        <f t="shared" si="3"/>
        <v>0</v>
      </c>
    </row>
    <row r="17" spans="1:10" x14ac:dyDescent="0.25">
      <c r="A17" s="23" t="s">
        <v>16</v>
      </c>
      <c r="B17" s="24" t="str">
        <f>'Assumed Values'!C6</f>
        <v>3% and 7%</v>
      </c>
      <c r="D17" s="26" t="s">
        <v>63</v>
      </c>
      <c r="E17" s="27">
        <f>E7/E8</f>
        <v>0</v>
      </c>
      <c r="G17" s="20">
        <f t="shared" si="0"/>
        <v>2028</v>
      </c>
      <c r="H17" s="20">
        <f t="shared" si="1"/>
        <v>1</v>
      </c>
      <c r="I17" s="29">
        <f t="shared" si="2"/>
        <v>0</v>
      </c>
      <c r="J17" s="64">
        <f t="shared" si="3"/>
        <v>0</v>
      </c>
    </row>
    <row r="18" spans="1:10" x14ac:dyDescent="0.25">
      <c r="A18" s="23" t="s">
        <v>17</v>
      </c>
      <c r="B18" s="23">
        <f>IF(B6=2,2.1, 1.1)</f>
        <v>1.1000000000000001</v>
      </c>
      <c r="G18" s="19">
        <f t="shared" si="0"/>
        <v>2029</v>
      </c>
      <c r="H18" s="19">
        <f t="shared" si="1"/>
        <v>1</v>
      </c>
      <c r="I18" s="29">
        <f t="shared" si="2"/>
        <v>0</v>
      </c>
      <c r="J18" s="57">
        <f t="shared" si="3"/>
        <v>0</v>
      </c>
    </row>
    <row r="19" spans="1:10" x14ac:dyDescent="0.25">
      <c r="A19" s="23" t="s">
        <v>21</v>
      </c>
      <c r="B19" s="25">
        <f>'Assumed Values'!C15</f>
        <v>16.100000000000001</v>
      </c>
      <c r="G19" s="20">
        <f t="shared" si="0"/>
        <v>2030</v>
      </c>
      <c r="H19" s="20">
        <f t="shared" si="1"/>
        <v>1</v>
      </c>
      <c r="I19" s="29">
        <f t="shared" si="2"/>
        <v>0</v>
      </c>
      <c r="J19" s="64">
        <f t="shared" si="3"/>
        <v>0</v>
      </c>
    </row>
    <row r="20" spans="1:10" x14ac:dyDescent="0.25">
      <c r="A20" s="23" t="s">
        <v>28</v>
      </c>
      <c r="B20" s="23">
        <v>260</v>
      </c>
      <c r="G20" s="19">
        <f t="shared" si="0"/>
        <v>2031</v>
      </c>
      <c r="H20" s="19">
        <f t="shared" si="1"/>
        <v>1</v>
      </c>
      <c r="I20" s="29">
        <f t="shared" si="2"/>
        <v>0</v>
      </c>
      <c r="J20" s="57">
        <f t="shared" si="3"/>
        <v>0</v>
      </c>
    </row>
    <row r="21" spans="1:10" x14ac:dyDescent="0.25">
      <c r="G21" s="20">
        <f t="shared" si="0"/>
        <v>2032</v>
      </c>
      <c r="H21" s="20">
        <f t="shared" si="1"/>
        <v>1</v>
      </c>
      <c r="I21" s="29">
        <f t="shared" si="2"/>
        <v>0</v>
      </c>
      <c r="J21" s="64">
        <f t="shared" si="3"/>
        <v>0</v>
      </c>
    </row>
    <row r="22" spans="1:10" x14ac:dyDescent="0.25">
      <c r="G22" s="19">
        <f t="shared" si="0"/>
        <v>2033</v>
      </c>
      <c r="H22" s="19">
        <f t="shared" si="1"/>
        <v>1</v>
      </c>
      <c r="I22" s="29">
        <f t="shared" si="2"/>
        <v>0</v>
      </c>
      <c r="J22" s="57">
        <f t="shared" si="3"/>
        <v>0</v>
      </c>
    </row>
    <row r="23" spans="1:10" x14ac:dyDescent="0.25">
      <c r="G23" s="20">
        <f t="shared" si="0"/>
        <v>2034</v>
      </c>
      <c r="H23" s="20">
        <f t="shared" si="1"/>
        <v>1</v>
      </c>
      <c r="I23" s="29">
        <f t="shared" si="2"/>
        <v>0</v>
      </c>
      <c r="J23" s="64">
        <f t="shared" si="3"/>
        <v>0</v>
      </c>
    </row>
    <row r="24" spans="1:10" x14ac:dyDescent="0.25">
      <c r="G24" s="19">
        <f t="shared" si="0"/>
        <v>2035</v>
      </c>
      <c r="H24" s="19">
        <f t="shared" si="1"/>
        <v>1</v>
      </c>
      <c r="I24" s="29">
        <f t="shared" si="2"/>
        <v>0</v>
      </c>
      <c r="J24" s="57">
        <f t="shared" si="3"/>
        <v>0</v>
      </c>
    </row>
    <row r="25" spans="1:10" x14ac:dyDescent="0.25">
      <c r="G25" s="20">
        <f t="shared" si="0"/>
        <v>2036</v>
      </c>
      <c r="H25" s="20">
        <f t="shared" si="1"/>
        <v>1</v>
      </c>
      <c r="I25" s="29">
        <f t="shared" si="2"/>
        <v>0</v>
      </c>
      <c r="J25" s="64">
        <f t="shared" ref="J25:J29" si="4">I25*$B$18*$B$19/10^3</f>
        <v>0</v>
      </c>
    </row>
    <row r="26" spans="1:10" x14ac:dyDescent="0.25">
      <c r="G26" s="19">
        <f t="shared" si="0"/>
        <v>2037</v>
      </c>
      <c r="H26" s="19">
        <f t="shared" si="1"/>
        <v>1</v>
      </c>
      <c r="I26" s="29">
        <f t="shared" si="2"/>
        <v>0</v>
      </c>
      <c r="J26" s="57">
        <f t="shared" si="4"/>
        <v>0</v>
      </c>
    </row>
    <row r="27" spans="1:10" x14ac:dyDescent="0.25">
      <c r="G27" s="20">
        <f t="shared" si="0"/>
        <v>2038</v>
      </c>
      <c r="H27" s="20">
        <f t="shared" si="1"/>
        <v>1</v>
      </c>
      <c r="I27" s="29">
        <f t="shared" si="2"/>
        <v>0</v>
      </c>
      <c r="J27" s="64">
        <f t="shared" si="4"/>
        <v>0</v>
      </c>
    </row>
    <row r="28" spans="1:10" x14ac:dyDescent="0.25">
      <c r="G28" s="19">
        <f t="shared" si="0"/>
        <v>2039</v>
      </c>
      <c r="H28" s="19">
        <f t="shared" si="1"/>
        <v>1</v>
      </c>
      <c r="I28" s="29">
        <f t="shared" si="2"/>
        <v>0</v>
      </c>
      <c r="J28" s="57">
        <f t="shared" si="4"/>
        <v>0</v>
      </c>
    </row>
    <row r="29" spans="1:10" x14ac:dyDescent="0.25">
      <c r="A29" s="34"/>
      <c r="G29" s="20">
        <f t="shared" si="0"/>
        <v>2040</v>
      </c>
      <c r="H29" s="20">
        <f t="shared" si="1"/>
        <v>1</v>
      </c>
      <c r="I29" s="29">
        <f t="shared" si="2"/>
        <v>0</v>
      </c>
      <c r="J29" s="64">
        <f t="shared" si="4"/>
        <v>0</v>
      </c>
    </row>
    <row r="51" spans="1:1" x14ac:dyDescent="0.25">
      <c r="A51" t="s">
        <v>23</v>
      </c>
    </row>
    <row r="52" spans="1:1" x14ac:dyDescent="0.25">
      <c r="A52" s="11" t="s">
        <v>25</v>
      </c>
    </row>
    <row r="53" spans="1:1" x14ac:dyDescent="0.25">
      <c r="A53" s="11" t="s">
        <v>24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14" t="s">
        <v>13</v>
      </c>
      <c r="D3" s="14" t="s">
        <v>52</v>
      </c>
      <c r="E3" s="15" t="s">
        <v>22</v>
      </c>
      <c r="G3" s="21" t="s">
        <v>26</v>
      </c>
      <c r="H3" s="21" t="s">
        <v>61</v>
      </c>
      <c r="I3" s="21" t="s">
        <v>75</v>
      </c>
      <c r="J3" s="21" t="s">
        <v>60</v>
      </c>
      <c r="K3" s="21" t="s">
        <v>76</v>
      </c>
    </row>
    <row r="4" spans="1:11" x14ac:dyDescent="0.25">
      <c r="A4" s="12" t="s">
        <v>18</v>
      </c>
      <c r="B4" s="13"/>
      <c r="D4" s="12" t="s">
        <v>67</v>
      </c>
      <c r="E4" s="69">
        <v>2015</v>
      </c>
      <c r="G4" s="19">
        <f>E4</f>
        <v>2015</v>
      </c>
      <c r="H4" s="60">
        <f t="shared" ref="H4:H24" si="0">IF($G4&lt;($G$4+$E$5),$E$17,0)</f>
        <v>0</v>
      </c>
      <c r="I4" s="59">
        <f>H4*$B$20/10^3</f>
        <v>0</v>
      </c>
      <c r="J4" s="60">
        <f t="shared" ref="J4:J24" si="1">IF($G4&lt;($G$4+$E$5),$E$18,0)</f>
        <v>0</v>
      </c>
      <c r="K4" s="59">
        <f>J4*$B$21/10^3</f>
        <v>0</v>
      </c>
    </row>
    <row r="5" spans="1:11" x14ac:dyDescent="0.25">
      <c r="A5" s="12" t="s">
        <v>19</v>
      </c>
      <c r="B5" s="13"/>
      <c r="D5" s="12" t="s">
        <v>56</v>
      </c>
      <c r="E5" s="16">
        <v>10</v>
      </c>
      <c r="G5" s="20">
        <f t="shared" ref="G5:G29" si="2">G4+1</f>
        <v>2016</v>
      </c>
      <c r="H5" s="60">
        <f t="shared" si="0"/>
        <v>0</v>
      </c>
      <c r="I5" s="61">
        <f t="shared" ref="I5:I24" si="3">H5*$B$20/10^3</f>
        <v>0</v>
      </c>
      <c r="J5" s="60">
        <f t="shared" si="1"/>
        <v>0</v>
      </c>
      <c r="K5" s="61">
        <f t="shared" ref="K5:K24" si="4">J5*$B$21/10^3</f>
        <v>0</v>
      </c>
    </row>
    <row r="6" spans="1:11" x14ac:dyDescent="0.25">
      <c r="A6" s="12" t="s">
        <v>57</v>
      </c>
      <c r="B6" s="13">
        <v>2</v>
      </c>
      <c r="D6" s="85" t="s">
        <v>54</v>
      </c>
      <c r="E6" s="86"/>
      <c r="G6" s="19">
        <f t="shared" si="2"/>
        <v>2017</v>
      </c>
      <c r="H6" s="60">
        <f t="shared" si="0"/>
        <v>0</v>
      </c>
      <c r="I6" s="59">
        <f t="shared" si="3"/>
        <v>0</v>
      </c>
      <c r="J6" s="60">
        <f t="shared" si="1"/>
        <v>0</v>
      </c>
      <c r="K6" s="59">
        <f t="shared" si="4"/>
        <v>0</v>
      </c>
    </row>
    <row r="7" spans="1:11" x14ac:dyDescent="0.25">
      <c r="A7" s="12" t="s">
        <v>68</v>
      </c>
      <c r="B7" s="32"/>
      <c r="D7" s="12" t="s">
        <v>53</v>
      </c>
      <c r="E7" s="16"/>
      <c r="G7" s="20">
        <f t="shared" si="2"/>
        <v>2018</v>
      </c>
      <c r="H7" s="60">
        <f t="shared" si="0"/>
        <v>0</v>
      </c>
      <c r="I7" s="61">
        <f t="shared" si="3"/>
        <v>0</v>
      </c>
      <c r="J7" s="60">
        <f t="shared" si="1"/>
        <v>0</v>
      </c>
      <c r="K7" s="61">
        <f t="shared" si="4"/>
        <v>0</v>
      </c>
    </row>
    <row r="8" spans="1:11" x14ac:dyDescent="0.25">
      <c r="A8" s="31" t="s">
        <v>69</v>
      </c>
      <c r="B8" s="32"/>
      <c r="D8" s="85" t="s">
        <v>55</v>
      </c>
      <c r="E8" s="86"/>
      <c r="G8" s="19">
        <f t="shared" si="2"/>
        <v>2019</v>
      </c>
      <c r="H8" s="60">
        <f t="shared" si="0"/>
        <v>0</v>
      </c>
      <c r="I8" s="59">
        <f t="shared" si="3"/>
        <v>0</v>
      </c>
      <c r="J8" s="60">
        <f t="shared" si="1"/>
        <v>0</v>
      </c>
      <c r="K8" s="59">
        <f t="shared" si="4"/>
        <v>0</v>
      </c>
    </row>
    <row r="9" spans="1:11" x14ac:dyDescent="0.25">
      <c r="D9" s="12" t="s">
        <v>58</v>
      </c>
      <c r="E9" s="16"/>
      <c r="G9" s="20">
        <f t="shared" si="2"/>
        <v>2020</v>
      </c>
      <c r="H9" s="60">
        <f t="shared" si="0"/>
        <v>0</v>
      </c>
      <c r="I9" s="61">
        <f t="shared" si="3"/>
        <v>0</v>
      </c>
      <c r="J9" s="60">
        <f t="shared" si="1"/>
        <v>0</v>
      </c>
      <c r="K9" s="61">
        <f t="shared" si="4"/>
        <v>0</v>
      </c>
    </row>
    <row r="10" spans="1:11" x14ac:dyDescent="0.25">
      <c r="A10" s="18" t="s">
        <v>30</v>
      </c>
      <c r="D10" s="12" t="s">
        <v>59</v>
      </c>
      <c r="E10" s="16"/>
      <c r="G10" s="19">
        <f t="shared" si="2"/>
        <v>2021</v>
      </c>
      <c r="H10" s="60">
        <f t="shared" si="0"/>
        <v>0</v>
      </c>
      <c r="I10" s="59">
        <f t="shared" si="3"/>
        <v>0</v>
      </c>
      <c r="J10" s="60">
        <f t="shared" si="1"/>
        <v>0</v>
      </c>
      <c r="K10" s="59">
        <f t="shared" si="4"/>
        <v>0</v>
      </c>
    </row>
    <row r="11" spans="1:11" x14ac:dyDescent="0.25">
      <c r="A11" s="17" t="s">
        <v>77</v>
      </c>
      <c r="B11" s="62">
        <f>(NPV($B$17,K4:K24)+NPV($B$17,I4:I24))/(1+$B$17)^2</f>
        <v>0</v>
      </c>
      <c r="G11" s="20">
        <f t="shared" si="2"/>
        <v>2022</v>
      </c>
      <c r="H11" s="60">
        <f t="shared" si="0"/>
        <v>0</v>
      </c>
      <c r="I11" s="61">
        <f t="shared" si="3"/>
        <v>0</v>
      </c>
      <c r="J11" s="60">
        <f t="shared" si="1"/>
        <v>0</v>
      </c>
      <c r="K11" s="61">
        <f t="shared" si="4"/>
        <v>0</v>
      </c>
    </row>
    <row r="12" spans="1:11" x14ac:dyDescent="0.25">
      <c r="A12" s="17" t="s">
        <v>29</v>
      </c>
      <c r="B12" s="63" t="e">
        <f>B11/B7</f>
        <v>#DIV/0!</v>
      </c>
      <c r="G12" s="19">
        <f t="shared" si="2"/>
        <v>2023</v>
      </c>
      <c r="H12" s="60">
        <f t="shared" si="0"/>
        <v>0</v>
      </c>
      <c r="I12" s="59">
        <f t="shared" si="3"/>
        <v>0</v>
      </c>
      <c r="J12" s="60">
        <f t="shared" si="1"/>
        <v>0</v>
      </c>
      <c r="K12" s="59">
        <f t="shared" si="4"/>
        <v>0</v>
      </c>
    </row>
    <row r="13" spans="1:11" x14ac:dyDescent="0.25">
      <c r="A13" s="17" t="s">
        <v>78</v>
      </c>
      <c r="B13" s="62" t="e">
        <f>B7*(B17/(1-(1+B17)^(-E5))/(SUM(H4:H29)+SUM(J4:J29)))</f>
        <v>#DIV/0!</v>
      </c>
      <c r="G13" s="20">
        <f t="shared" si="2"/>
        <v>2024</v>
      </c>
      <c r="H13" s="60">
        <f t="shared" si="0"/>
        <v>0</v>
      </c>
      <c r="I13" s="61">
        <f t="shared" si="3"/>
        <v>0</v>
      </c>
      <c r="J13" s="60">
        <f t="shared" si="1"/>
        <v>0</v>
      </c>
      <c r="K13" s="61">
        <f t="shared" si="4"/>
        <v>0</v>
      </c>
    </row>
    <row r="14" spans="1:11" x14ac:dyDescent="0.25">
      <c r="G14" s="19">
        <f>G13+1</f>
        <v>2025</v>
      </c>
      <c r="H14" s="60">
        <f t="shared" si="0"/>
        <v>0</v>
      </c>
      <c r="I14" s="59">
        <f t="shared" si="3"/>
        <v>0</v>
      </c>
      <c r="J14" s="60">
        <f t="shared" si="1"/>
        <v>0</v>
      </c>
      <c r="K14" s="59">
        <f t="shared" si="4"/>
        <v>0</v>
      </c>
    </row>
    <row r="15" spans="1:11" x14ac:dyDescent="0.25">
      <c r="A15" s="22" t="s">
        <v>14</v>
      </c>
      <c r="G15" s="20">
        <f t="shared" si="2"/>
        <v>2026</v>
      </c>
      <c r="H15" s="60">
        <f t="shared" si="0"/>
        <v>0</v>
      </c>
      <c r="I15" s="61">
        <f t="shared" si="3"/>
        <v>0</v>
      </c>
      <c r="J15" s="60">
        <f t="shared" si="1"/>
        <v>0</v>
      </c>
      <c r="K15" s="61">
        <f t="shared" si="4"/>
        <v>0</v>
      </c>
    </row>
    <row r="16" spans="1:11" x14ac:dyDescent="0.25">
      <c r="A16" s="23" t="s">
        <v>15</v>
      </c>
      <c r="B16" s="35">
        <v>2015</v>
      </c>
      <c r="D16" s="22" t="s">
        <v>27</v>
      </c>
      <c r="E16" s="33" t="s">
        <v>22</v>
      </c>
      <c r="G16" s="19">
        <f t="shared" si="2"/>
        <v>2027</v>
      </c>
      <c r="H16" s="60">
        <f t="shared" si="0"/>
        <v>0</v>
      </c>
      <c r="I16" s="59">
        <f t="shared" si="3"/>
        <v>0</v>
      </c>
      <c r="J16" s="60">
        <f t="shared" si="1"/>
        <v>0</v>
      </c>
      <c r="K16" s="59">
        <f t="shared" si="4"/>
        <v>0</v>
      </c>
    </row>
    <row r="17" spans="1:11" x14ac:dyDescent="0.25">
      <c r="A17" s="23" t="s">
        <v>16</v>
      </c>
      <c r="B17" s="24">
        <v>7.0000000000000007E-2</v>
      </c>
      <c r="D17" s="26" t="s">
        <v>58</v>
      </c>
      <c r="E17" s="56">
        <f>IF(E9,E9,$E$7*B18*$B$22/10^6)</f>
        <v>0</v>
      </c>
      <c r="G17" s="20">
        <f t="shared" si="2"/>
        <v>2028</v>
      </c>
      <c r="H17" s="60">
        <f t="shared" si="0"/>
        <v>0</v>
      </c>
      <c r="I17" s="61">
        <f t="shared" si="3"/>
        <v>0</v>
      </c>
      <c r="J17" s="60">
        <f t="shared" si="1"/>
        <v>0</v>
      </c>
      <c r="K17" s="61">
        <f t="shared" si="4"/>
        <v>0</v>
      </c>
    </row>
    <row r="18" spans="1:11" x14ac:dyDescent="0.25">
      <c r="A18" s="23" t="s">
        <v>50</v>
      </c>
      <c r="B18" s="67">
        <f>IF($B$6=2,'Assumed Values'!C21,0)</f>
        <v>0.32340150000000001</v>
      </c>
      <c r="D18" s="26" t="s">
        <v>59</v>
      </c>
      <c r="E18" s="56">
        <f>IF(E10,E10,$E$7*B19*$B$22/10^6)</f>
        <v>0</v>
      </c>
      <c r="G18" s="19">
        <f t="shared" si="2"/>
        <v>2029</v>
      </c>
      <c r="H18" s="60">
        <f t="shared" si="0"/>
        <v>0</v>
      </c>
      <c r="I18" s="59">
        <f t="shared" si="3"/>
        <v>0</v>
      </c>
      <c r="J18" s="60">
        <f t="shared" si="1"/>
        <v>0</v>
      </c>
      <c r="K18" s="59">
        <f t="shared" si="4"/>
        <v>0</v>
      </c>
    </row>
    <row r="19" spans="1:11" x14ac:dyDescent="0.25">
      <c r="A19" s="23" t="s">
        <v>51</v>
      </c>
      <c r="B19" s="67">
        <f>IF($B$6=2,'Assumed Values'!C22,0)</f>
        <v>0.19106300000000001</v>
      </c>
      <c r="G19" s="20">
        <f t="shared" si="2"/>
        <v>2030</v>
      </c>
      <c r="H19" s="60">
        <f t="shared" si="0"/>
        <v>0</v>
      </c>
      <c r="I19" s="61">
        <f t="shared" si="3"/>
        <v>0</v>
      </c>
      <c r="J19" s="60">
        <f t="shared" si="1"/>
        <v>0</v>
      </c>
      <c r="K19" s="61">
        <f t="shared" si="4"/>
        <v>0</v>
      </c>
    </row>
    <row r="20" spans="1:11" x14ac:dyDescent="0.25">
      <c r="A20" s="23" t="s">
        <v>83</v>
      </c>
      <c r="B20" s="58">
        <f>'Assumed Values'!C19</f>
        <v>2083.1541467275511</v>
      </c>
      <c r="G20" s="19">
        <f t="shared" si="2"/>
        <v>2031</v>
      </c>
      <c r="H20" s="60">
        <f t="shared" si="0"/>
        <v>0</v>
      </c>
      <c r="I20" s="59">
        <f t="shared" si="3"/>
        <v>0</v>
      </c>
      <c r="J20" s="60">
        <f t="shared" si="1"/>
        <v>0</v>
      </c>
      <c r="K20" s="59">
        <f t="shared" si="4"/>
        <v>0</v>
      </c>
    </row>
    <row r="21" spans="1:11" x14ac:dyDescent="0.25">
      <c r="A21" s="23" t="s">
        <v>84</v>
      </c>
      <c r="B21" s="58">
        <f>'Assumed Values'!C20</f>
        <v>8208.6069103416321</v>
      </c>
      <c r="G21" s="20">
        <f t="shared" si="2"/>
        <v>2032</v>
      </c>
      <c r="H21" s="60">
        <f t="shared" si="0"/>
        <v>0</v>
      </c>
      <c r="I21" s="61">
        <f t="shared" si="3"/>
        <v>0</v>
      </c>
      <c r="J21" s="60">
        <f t="shared" si="1"/>
        <v>0</v>
      </c>
      <c r="K21" s="61">
        <f t="shared" si="4"/>
        <v>0</v>
      </c>
    </row>
    <row r="22" spans="1:11" x14ac:dyDescent="0.25">
      <c r="A22" s="23" t="s">
        <v>28</v>
      </c>
      <c r="B22" s="23">
        <v>260</v>
      </c>
      <c r="G22" s="19">
        <f t="shared" si="2"/>
        <v>2033</v>
      </c>
      <c r="H22" s="60">
        <f t="shared" si="0"/>
        <v>0</v>
      </c>
      <c r="I22" s="59">
        <f t="shared" si="3"/>
        <v>0</v>
      </c>
      <c r="J22" s="60">
        <f t="shared" si="1"/>
        <v>0</v>
      </c>
      <c r="K22" s="59">
        <f t="shared" si="4"/>
        <v>0</v>
      </c>
    </row>
    <row r="23" spans="1:11" x14ac:dyDescent="0.25">
      <c r="G23" s="20">
        <f t="shared" si="2"/>
        <v>2034</v>
      </c>
      <c r="H23" s="60">
        <f t="shared" si="0"/>
        <v>0</v>
      </c>
      <c r="I23" s="61">
        <f t="shared" si="3"/>
        <v>0</v>
      </c>
      <c r="J23" s="60">
        <f t="shared" si="1"/>
        <v>0</v>
      </c>
      <c r="K23" s="61">
        <f t="shared" si="4"/>
        <v>0</v>
      </c>
    </row>
    <row r="24" spans="1:11" x14ac:dyDescent="0.25">
      <c r="G24" s="19">
        <f t="shared" si="2"/>
        <v>2035</v>
      </c>
      <c r="H24" s="60">
        <f t="shared" si="0"/>
        <v>0</v>
      </c>
      <c r="I24" s="59">
        <f t="shared" si="3"/>
        <v>0</v>
      </c>
      <c r="J24" s="60">
        <f t="shared" si="1"/>
        <v>0</v>
      </c>
      <c r="K24" s="59">
        <f t="shared" si="4"/>
        <v>0</v>
      </c>
    </row>
    <row r="25" spans="1:11" x14ac:dyDescent="0.25">
      <c r="G25" s="20">
        <f t="shared" si="2"/>
        <v>2036</v>
      </c>
      <c r="H25" s="60">
        <f t="shared" ref="H25:H28" si="5">IF($G25&lt;($G$4+$E$5),$E$17,0)</f>
        <v>0</v>
      </c>
      <c r="I25" s="61">
        <f t="shared" ref="I25:I29" si="6">H25*$B$20/10^3</f>
        <v>0</v>
      </c>
      <c r="J25" s="60">
        <f t="shared" ref="J25:J28" si="7">IF($G25&lt;($G$4+$E$5),$E$18,0)</f>
        <v>0</v>
      </c>
      <c r="K25" s="61">
        <f t="shared" ref="K25:K29" si="8">J25*$B$21/10^3</f>
        <v>0</v>
      </c>
    </row>
    <row r="26" spans="1:11" x14ac:dyDescent="0.25">
      <c r="G26" s="19">
        <f t="shared" si="2"/>
        <v>2037</v>
      </c>
      <c r="H26" s="60">
        <f t="shared" si="5"/>
        <v>0</v>
      </c>
      <c r="I26" s="59">
        <f t="shared" si="6"/>
        <v>0</v>
      </c>
      <c r="J26" s="60">
        <f t="shared" si="7"/>
        <v>0</v>
      </c>
      <c r="K26" s="59">
        <f t="shared" si="8"/>
        <v>0</v>
      </c>
    </row>
    <row r="27" spans="1:11" x14ac:dyDescent="0.25">
      <c r="G27" s="20">
        <f t="shared" si="2"/>
        <v>2038</v>
      </c>
      <c r="H27" s="60">
        <f t="shared" si="5"/>
        <v>0</v>
      </c>
      <c r="I27" s="61">
        <f t="shared" si="6"/>
        <v>0</v>
      </c>
      <c r="J27" s="60">
        <f t="shared" si="7"/>
        <v>0</v>
      </c>
      <c r="K27" s="61">
        <f t="shared" si="8"/>
        <v>0</v>
      </c>
    </row>
    <row r="28" spans="1:11" x14ac:dyDescent="0.25">
      <c r="G28" s="19">
        <f t="shared" si="2"/>
        <v>2039</v>
      </c>
      <c r="H28" s="60">
        <f t="shared" si="5"/>
        <v>0</v>
      </c>
      <c r="I28" s="59">
        <f t="shared" si="6"/>
        <v>0</v>
      </c>
      <c r="J28" s="60">
        <f t="shared" si="7"/>
        <v>0</v>
      </c>
      <c r="K28" s="59">
        <f t="shared" si="8"/>
        <v>0</v>
      </c>
    </row>
    <row r="29" spans="1:11" x14ac:dyDescent="0.25">
      <c r="G29" s="20">
        <f t="shared" si="2"/>
        <v>2040</v>
      </c>
      <c r="H29" s="60">
        <f>IF($G29&lt;($G$4+$E$5),$E$17,0)</f>
        <v>0</v>
      </c>
      <c r="I29" s="61">
        <f t="shared" si="6"/>
        <v>0</v>
      </c>
      <c r="J29" s="60">
        <f>IF($G29&lt;($G$4+$E$5),$E$18,0)</f>
        <v>0</v>
      </c>
      <c r="K29" s="61">
        <f t="shared" si="8"/>
        <v>0</v>
      </c>
    </row>
    <row r="31" spans="1:11" x14ac:dyDescent="0.25">
      <c r="A31" s="34"/>
    </row>
    <row r="53" spans="1:1" x14ac:dyDescent="0.25">
      <c r="A53" t="s">
        <v>23</v>
      </c>
    </row>
    <row r="54" spans="1:1" x14ac:dyDescent="0.25">
      <c r="A54" s="11" t="s">
        <v>25</v>
      </c>
    </row>
    <row r="55" spans="1:1" x14ac:dyDescent="0.25">
      <c r="A55" s="11" t="s">
        <v>24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K34"/>
  <sheetViews>
    <sheetView tabSelected="1" zoomScale="85" zoomScaleNormal="85" workbookViewId="0">
      <selection activeCell="B6" sqref="B6"/>
    </sheetView>
  </sheetViews>
  <sheetFormatPr defaultRowHeight="15" x14ac:dyDescent="0.25"/>
  <cols>
    <col min="1" max="1" width="45.140625" bestFit="1" customWidth="1"/>
    <col min="2" max="2" width="12.5703125" customWidth="1"/>
    <col min="3" max="3" width="5.28515625" customWidth="1"/>
    <col min="4" max="4" width="25.5703125" customWidth="1"/>
    <col min="5" max="5" width="15.42578125" bestFit="1" customWidth="1"/>
    <col min="6" max="6" width="4.5703125" customWidth="1"/>
    <col min="7" max="7" width="9.28515625" bestFit="1" customWidth="1"/>
    <col min="8" max="8" width="21.7109375" bestFit="1" customWidth="1"/>
    <col min="9" max="9" width="18.7109375" customWidth="1"/>
    <col min="10" max="10" width="29.85546875" bestFit="1" customWidth="1"/>
    <col min="11" max="11" width="36.140625" bestFit="1" customWidth="1"/>
  </cols>
  <sheetData>
    <row r="3" spans="1:11" x14ac:dyDescent="0.25">
      <c r="A3" s="14" t="s">
        <v>13</v>
      </c>
      <c r="D3" s="22" t="s">
        <v>27</v>
      </c>
      <c r="E3" s="33"/>
      <c r="G3" s="21" t="s">
        <v>26</v>
      </c>
      <c r="H3" s="21" t="s">
        <v>121</v>
      </c>
      <c r="I3" s="21" t="s">
        <v>110</v>
      </c>
      <c r="J3" s="21" t="s">
        <v>122</v>
      </c>
      <c r="K3" s="21" t="s">
        <v>118</v>
      </c>
    </row>
    <row r="4" spans="1:11" x14ac:dyDescent="0.25">
      <c r="A4" s="12" t="s">
        <v>18</v>
      </c>
      <c r="B4" s="13" t="s">
        <v>124</v>
      </c>
      <c r="D4" s="23"/>
      <c r="E4" s="83"/>
      <c r="G4" s="79">
        <f>Year_Open_to_Traffic?</f>
        <v>2018</v>
      </c>
      <c r="H4" s="29"/>
      <c r="I4" s="82">
        <f t="shared" ref="I4:I21" si="0">IF(AND(G4&gt;=Year_Open_to_Traffic?,G4&lt;Year_Open_to_Traffic?+Years_to_include_in_BCA_Analysis),1,0)</f>
        <v>1</v>
      </c>
      <c r="J4" s="84">
        <f t="shared" ref="J4:J33" si="1">IF(Benefit_Values_YOE_Nominal?__1_if_yes__0_if_real,(1+Future_Capital_Costs_Nominal_to_Real_Conversion_Rate)^(G4-2015),1)</f>
        <v>1.0638071871763413</v>
      </c>
      <c r="K4" s="78">
        <f>(H4*I4*(1/J4))/10^3</f>
        <v>0</v>
      </c>
    </row>
    <row r="5" spans="1:11" x14ac:dyDescent="0.25">
      <c r="A5" s="12" t="s">
        <v>108</v>
      </c>
      <c r="B5" s="13">
        <v>300393</v>
      </c>
      <c r="D5" s="26"/>
      <c r="E5" s="65"/>
      <c r="G5" s="20">
        <f t="shared" ref="G5:G33" si="2">G4+1</f>
        <v>2019</v>
      </c>
      <c r="H5" s="30"/>
      <c r="I5" s="82">
        <f t="shared" si="0"/>
        <v>1</v>
      </c>
      <c r="J5" s="84">
        <f t="shared" si="1"/>
        <v>1.0859684967616856</v>
      </c>
      <c r="K5" s="78">
        <f t="shared" ref="K5:K21" si="3">(H5*I5*(1/J5))/10^3</f>
        <v>0</v>
      </c>
    </row>
    <row r="6" spans="1:11" x14ac:dyDescent="0.25">
      <c r="A6" s="12" t="s">
        <v>109</v>
      </c>
      <c r="B6" s="13" t="s">
        <v>125</v>
      </c>
      <c r="D6" s="26"/>
      <c r="E6" s="65"/>
      <c r="G6" s="79">
        <f t="shared" si="2"/>
        <v>2020</v>
      </c>
      <c r="H6" s="30">
        <v>148900</v>
      </c>
      <c r="I6" s="82">
        <f t="shared" si="0"/>
        <v>1</v>
      </c>
      <c r="J6" s="84">
        <f t="shared" si="1"/>
        <v>1.1085914723786734</v>
      </c>
      <c r="K6" s="78">
        <f t="shared" si="3"/>
        <v>134.31458180037185</v>
      </c>
    </row>
    <row r="7" spans="1:11" x14ac:dyDescent="0.25">
      <c r="A7" s="12" t="s">
        <v>120</v>
      </c>
      <c r="B7" s="69">
        <v>2018</v>
      </c>
      <c r="D7" s="26"/>
      <c r="E7" s="65"/>
      <c r="G7" s="20">
        <f t="shared" si="2"/>
        <v>2021</v>
      </c>
      <c r="H7" s="30"/>
      <c r="I7" s="82">
        <f t="shared" si="0"/>
        <v>1</v>
      </c>
      <c r="J7" s="84">
        <f t="shared" si="1"/>
        <v>1.1316857314880393</v>
      </c>
      <c r="K7" s="78">
        <f t="shared" si="3"/>
        <v>0</v>
      </c>
    </row>
    <row r="8" spans="1:11" x14ac:dyDescent="0.25">
      <c r="A8" s="12" t="s">
        <v>123</v>
      </c>
      <c r="B8" s="69">
        <v>1</v>
      </c>
      <c r="D8" s="26"/>
      <c r="E8" s="28"/>
      <c r="G8" s="79">
        <f t="shared" si="2"/>
        <v>2022</v>
      </c>
      <c r="H8" s="30"/>
      <c r="I8" s="82">
        <f t="shared" si="0"/>
        <v>1</v>
      </c>
      <c r="J8" s="84">
        <f t="shared" si="1"/>
        <v>1.1552610919021684</v>
      </c>
      <c r="K8" s="78">
        <f t="shared" si="3"/>
        <v>0</v>
      </c>
    </row>
    <row r="9" spans="1:11" x14ac:dyDescent="0.25">
      <c r="D9" s="26"/>
      <c r="E9" s="28"/>
      <c r="G9" s="20">
        <f t="shared" si="2"/>
        <v>2023</v>
      </c>
      <c r="H9" s="30">
        <v>40000</v>
      </c>
      <c r="I9" s="82">
        <f t="shared" si="0"/>
        <v>1</v>
      </c>
      <c r="J9" s="84">
        <f t="shared" si="1"/>
        <v>1.1793275759588351</v>
      </c>
      <c r="K9" s="78">
        <f t="shared" si="3"/>
        <v>33.917633077882186</v>
      </c>
    </row>
    <row r="10" spans="1:11" x14ac:dyDescent="0.25">
      <c r="A10" s="18" t="s">
        <v>117</v>
      </c>
      <c r="D10" s="26"/>
      <c r="E10" s="28"/>
      <c r="G10" s="79">
        <f t="shared" si="2"/>
        <v>2024</v>
      </c>
      <c r="H10" s="30"/>
      <c r="I10" s="82">
        <f t="shared" si="0"/>
        <v>1</v>
      </c>
      <c r="J10" s="84">
        <f t="shared" si="1"/>
        <v>1.2038954147818914</v>
      </c>
      <c r="K10" s="78">
        <f t="shared" si="3"/>
        <v>0</v>
      </c>
    </row>
    <row r="11" spans="1:11" x14ac:dyDescent="0.25">
      <c r="A11" s="17" t="s">
        <v>85</v>
      </c>
      <c r="B11" s="66">
        <f>NPV(7%,Value_of_Benefit_Savings__2015_____000s)/(1+7%)^(Initial_Year_of_Analysis?-2015-1)</f>
        <v>272.36626081003885</v>
      </c>
      <c r="D11" s="26"/>
      <c r="E11" s="65"/>
      <c r="G11" s="20">
        <f t="shared" si="2"/>
        <v>2025</v>
      </c>
      <c r="H11" s="30">
        <v>150000</v>
      </c>
      <c r="I11" s="82">
        <f t="shared" si="0"/>
        <v>1</v>
      </c>
      <c r="J11" s="84">
        <f t="shared" si="1"/>
        <v>1.2289750526307146</v>
      </c>
      <c r="K11" s="78">
        <f t="shared" si="3"/>
        <v>122.05292506053202</v>
      </c>
    </row>
    <row r="12" spans="1:11" x14ac:dyDescent="0.25">
      <c r="A12" s="17" t="s">
        <v>86</v>
      </c>
      <c r="B12" s="66">
        <f>NPV(3%,Value_of_Benefit_Savings__2015_____000s)/(1+3%)^(Initial_Year_of_Analysis?-2015-1)</f>
        <v>414.77852626593051</v>
      </c>
      <c r="D12" s="26"/>
      <c r="E12" s="65"/>
      <c r="G12" s="79">
        <f t="shared" si="2"/>
        <v>2026</v>
      </c>
      <c r="H12" s="30"/>
      <c r="I12" s="82">
        <f t="shared" si="0"/>
        <v>1</v>
      </c>
      <c r="J12" s="84">
        <f t="shared" si="1"/>
        <v>1.2545771513402613</v>
      </c>
      <c r="K12" s="78">
        <f t="shared" si="3"/>
        <v>0</v>
      </c>
    </row>
    <row r="13" spans="1:11" x14ac:dyDescent="0.25">
      <c r="D13" s="26"/>
      <c r="E13" s="65"/>
      <c r="G13" s="20">
        <f t="shared" si="2"/>
        <v>2027</v>
      </c>
      <c r="H13" s="30"/>
      <c r="I13" s="82">
        <f t="shared" si="0"/>
        <v>1</v>
      </c>
      <c r="J13" s="84">
        <f t="shared" si="1"/>
        <v>1.2807125948536187</v>
      </c>
      <c r="K13" s="78">
        <f t="shared" si="3"/>
        <v>0</v>
      </c>
    </row>
    <row r="14" spans="1:11" x14ac:dyDescent="0.25">
      <c r="A14" s="22" t="s">
        <v>14</v>
      </c>
      <c r="G14" s="79">
        <f>G13+1</f>
        <v>2028</v>
      </c>
      <c r="H14" s="30">
        <v>30000</v>
      </c>
      <c r="I14" s="82">
        <f t="shared" si="0"/>
        <v>1</v>
      </c>
      <c r="J14" s="84">
        <f t="shared" si="1"/>
        <v>1.3073924938489767</v>
      </c>
      <c r="K14" s="78">
        <f t="shared" si="3"/>
        <v>22.946437386740456</v>
      </c>
    </row>
    <row r="15" spans="1:11" x14ac:dyDescent="0.25">
      <c r="A15" s="23" t="s">
        <v>15</v>
      </c>
      <c r="B15" s="35">
        <v>2015</v>
      </c>
      <c r="G15" s="20">
        <f t="shared" si="2"/>
        <v>2029</v>
      </c>
      <c r="H15" s="30"/>
      <c r="I15" s="82">
        <f t="shared" si="0"/>
        <v>1</v>
      </c>
      <c r="J15" s="84">
        <f t="shared" si="1"/>
        <v>1.3346281904629904</v>
      </c>
      <c r="K15" s="78">
        <f t="shared" si="3"/>
        <v>0</v>
      </c>
    </row>
    <row r="16" spans="1:11" x14ac:dyDescent="0.25">
      <c r="A16" s="23" t="s">
        <v>119</v>
      </c>
      <c r="B16" s="23">
        <v>20</v>
      </c>
      <c r="G16" s="79">
        <f t="shared" si="2"/>
        <v>2030</v>
      </c>
      <c r="H16" s="30">
        <v>164000</v>
      </c>
      <c r="I16" s="82">
        <f t="shared" si="0"/>
        <v>1</v>
      </c>
      <c r="J16" s="84">
        <f t="shared" si="1"/>
        <v>1.3624312631125413</v>
      </c>
      <c r="K16" s="78">
        <f t="shared" si="3"/>
        <v>120.37304518786065</v>
      </c>
    </row>
    <row r="17" spans="1:11" x14ac:dyDescent="0.25">
      <c r="G17" s="20">
        <f t="shared" si="2"/>
        <v>2031</v>
      </c>
      <c r="H17" s="30"/>
      <c r="I17" s="82">
        <f t="shared" si="0"/>
        <v>1</v>
      </c>
      <c r="J17" s="84">
        <f t="shared" si="1"/>
        <v>1.3908135314169419</v>
      </c>
      <c r="K17" s="78">
        <f t="shared" si="3"/>
        <v>0</v>
      </c>
    </row>
    <row r="18" spans="1:11" x14ac:dyDescent="0.25">
      <c r="G18" s="79">
        <f t="shared" si="2"/>
        <v>2032</v>
      </c>
      <c r="H18" s="30"/>
      <c r="I18" s="82">
        <f t="shared" si="0"/>
        <v>1</v>
      </c>
      <c r="J18" s="84">
        <f t="shared" si="1"/>
        <v>1.4197870612226844</v>
      </c>
      <c r="K18" s="78">
        <f t="shared" si="3"/>
        <v>0</v>
      </c>
    </row>
    <row r="19" spans="1:11" x14ac:dyDescent="0.25">
      <c r="G19" s="20">
        <f t="shared" si="2"/>
        <v>2033</v>
      </c>
      <c r="H19" s="30">
        <v>26000</v>
      </c>
      <c r="I19" s="82">
        <f t="shared" si="0"/>
        <v>1</v>
      </c>
      <c r="J19" s="84">
        <f t="shared" si="1"/>
        <v>1.4493641697328623</v>
      </c>
      <c r="K19" s="78">
        <f t="shared" si="3"/>
        <v>17.938900755903298</v>
      </c>
    </row>
    <row r="20" spans="1:11" x14ac:dyDescent="0.25">
      <c r="G20" s="79">
        <f t="shared" si="2"/>
        <v>2034</v>
      </c>
      <c r="H20" s="30"/>
      <c r="I20" s="82">
        <f t="shared" si="0"/>
        <v>1</v>
      </c>
      <c r="J20" s="84">
        <f t="shared" si="1"/>
        <v>1.4795574307434509</v>
      </c>
      <c r="K20" s="78">
        <f t="shared" si="3"/>
        <v>0</v>
      </c>
    </row>
    <row r="21" spans="1:11" x14ac:dyDescent="0.25">
      <c r="G21" s="20">
        <f t="shared" si="2"/>
        <v>2035</v>
      </c>
      <c r="H21" s="30">
        <v>212500</v>
      </c>
      <c r="I21" s="82">
        <f t="shared" si="0"/>
        <v>1</v>
      </c>
      <c r="J21" s="84">
        <f t="shared" si="1"/>
        <v>1.5103796799886677</v>
      </c>
      <c r="K21" s="78">
        <f t="shared" si="3"/>
        <v>140.69310042730075</v>
      </c>
    </row>
    <row r="22" spans="1:11" x14ac:dyDescent="0.25">
      <c r="G22" s="20">
        <f t="shared" si="2"/>
        <v>2036</v>
      </c>
      <c r="H22" s="30"/>
      <c r="I22" s="82">
        <f t="shared" ref="I22:I33" si="4">IF(AND(G22&gt;=Year_Open_to_Traffic?,G22&lt;Year_Open_to_Traffic?+Years_to_include_in_BCA_Analysis),1,0)</f>
        <v>1</v>
      </c>
      <c r="J22" s="84">
        <f t="shared" si="1"/>
        <v>1.54184402059769</v>
      </c>
      <c r="K22" s="78">
        <f t="shared" ref="K22:K33" si="5">(H22*I22*(1/J22))/10^3</f>
        <v>0</v>
      </c>
    </row>
    <row r="23" spans="1:11" x14ac:dyDescent="0.25">
      <c r="G23" s="20">
        <f t="shared" si="2"/>
        <v>2037</v>
      </c>
      <c r="H23" s="30"/>
      <c r="I23" s="82">
        <f t="shared" si="4"/>
        <v>1</v>
      </c>
      <c r="J23" s="84">
        <f t="shared" si="1"/>
        <v>1.573963828665045</v>
      </c>
      <c r="K23" s="78">
        <f t="shared" si="5"/>
        <v>0</v>
      </c>
    </row>
    <row r="24" spans="1:11" x14ac:dyDescent="0.25">
      <c r="A24" s="34"/>
      <c r="G24" s="20">
        <f t="shared" si="2"/>
        <v>2038</v>
      </c>
      <c r="H24" s="30"/>
      <c r="I24" s="82">
        <f t="shared" si="4"/>
        <v>0</v>
      </c>
      <c r="J24" s="84">
        <f t="shared" si="1"/>
        <v>1.6067527589370472</v>
      </c>
      <c r="K24" s="78">
        <f t="shared" si="5"/>
        <v>0</v>
      </c>
    </row>
    <row r="25" spans="1:11" x14ac:dyDescent="0.25">
      <c r="G25" s="20">
        <f t="shared" si="2"/>
        <v>2039</v>
      </c>
      <c r="H25" s="30"/>
      <c r="I25" s="82">
        <f t="shared" si="4"/>
        <v>0</v>
      </c>
      <c r="J25" s="84">
        <f t="shared" si="1"/>
        <v>1.6402247506166892</v>
      </c>
      <c r="K25" s="78">
        <f t="shared" si="5"/>
        <v>0</v>
      </c>
    </row>
    <row r="26" spans="1:11" x14ac:dyDescent="0.25">
      <c r="G26" s="20">
        <f t="shared" si="2"/>
        <v>2040</v>
      </c>
      <c r="H26" s="30"/>
      <c r="I26" s="82">
        <f t="shared" si="4"/>
        <v>0</v>
      </c>
      <c r="J26" s="84">
        <f t="shared" si="1"/>
        <v>1.6743940332894665</v>
      </c>
      <c r="K26" s="78">
        <f t="shared" si="5"/>
        <v>0</v>
      </c>
    </row>
    <row r="27" spans="1:11" x14ac:dyDescent="0.25">
      <c r="G27" s="20">
        <f t="shared" si="2"/>
        <v>2041</v>
      </c>
      <c r="H27" s="30"/>
      <c r="I27" s="82">
        <f t="shared" si="4"/>
        <v>0</v>
      </c>
      <c r="J27" s="84">
        <f t="shared" si="1"/>
        <v>1.7092751329726461</v>
      </c>
      <c r="K27" s="78">
        <f t="shared" si="5"/>
        <v>0</v>
      </c>
    </row>
    <row r="28" spans="1:11" x14ac:dyDescent="0.25">
      <c r="G28" s="20">
        <f t="shared" si="2"/>
        <v>2042</v>
      </c>
      <c r="H28" s="30"/>
      <c r="I28" s="82">
        <f t="shared" si="4"/>
        <v>0</v>
      </c>
      <c r="J28" s="84">
        <f t="shared" si="1"/>
        <v>1.7448828782905559</v>
      </c>
      <c r="K28" s="78">
        <f t="shared" si="5"/>
        <v>0</v>
      </c>
    </row>
    <row r="29" spans="1:11" x14ac:dyDescent="0.25">
      <c r="G29" s="20">
        <f t="shared" si="2"/>
        <v>2043</v>
      </c>
      <c r="H29" s="30"/>
      <c r="I29" s="82">
        <f t="shared" si="4"/>
        <v>0</v>
      </c>
      <c r="J29" s="84">
        <f t="shared" si="1"/>
        <v>1.7812324067785166</v>
      </c>
      <c r="K29" s="78">
        <f t="shared" si="5"/>
        <v>0</v>
      </c>
    </row>
    <row r="30" spans="1:11" x14ac:dyDescent="0.25">
      <c r="G30" s="20">
        <f t="shared" si="2"/>
        <v>2044</v>
      </c>
      <c r="H30" s="30"/>
      <c r="I30" s="82">
        <f t="shared" si="4"/>
        <v>0</v>
      </c>
      <c r="J30" s="84">
        <f t="shared" si="1"/>
        <v>1.8183391713180976</v>
      </c>
      <c r="K30" s="78">
        <f t="shared" si="5"/>
        <v>0</v>
      </c>
    </row>
    <row r="31" spans="1:11" x14ac:dyDescent="0.25">
      <c r="G31" s="20">
        <f t="shared" si="2"/>
        <v>2045</v>
      </c>
      <c r="H31" s="30"/>
      <c r="I31" s="82">
        <f t="shared" si="4"/>
        <v>0</v>
      </c>
      <c r="J31" s="84">
        <f t="shared" si="1"/>
        <v>1.8562189467064345</v>
      </c>
      <c r="K31" s="78">
        <f t="shared" si="5"/>
        <v>0</v>
      </c>
    </row>
    <row r="32" spans="1:11" x14ac:dyDescent="0.25">
      <c r="G32" s="20">
        <f t="shared" si="2"/>
        <v>2046</v>
      </c>
      <c r="H32" s="30"/>
      <c r="I32" s="82">
        <f t="shared" si="4"/>
        <v>0</v>
      </c>
      <c r="J32" s="84">
        <f t="shared" si="1"/>
        <v>1.8948878363623982</v>
      </c>
      <c r="K32" s="78">
        <f t="shared" si="5"/>
        <v>0</v>
      </c>
    </row>
    <row r="33" spans="1:11" x14ac:dyDescent="0.25">
      <c r="A33" s="11"/>
      <c r="G33" s="20">
        <f t="shared" si="2"/>
        <v>2047</v>
      </c>
      <c r="H33" s="30"/>
      <c r="I33" s="82">
        <f t="shared" si="4"/>
        <v>0</v>
      </c>
      <c r="J33" s="84">
        <f t="shared" si="1"/>
        <v>1.9343622791724648</v>
      </c>
      <c r="K33" s="78">
        <f t="shared" si="5"/>
        <v>0</v>
      </c>
    </row>
    <row r="34" spans="1:11" x14ac:dyDescent="0.25">
      <c r="A34" s="11"/>
    </row>
  </sheetData>
  <pageMargins left="0.25" right="0.25" top="0.75" bottom="0.75" header="0.3" footer="0.3"/>
  <pageSetup paperSize="17"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C23"/>
  <sheetViews>
    <sheetView zoomScaleNormal="100" workbookViewId="0">
      <selection activeCell="B8" sqref="B8:C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4" t="s">
        <v>112</v>
      </c>
    </row>
    <row r="4" spans="2:3" x14ac:dyDescent="0.25">
      <c r="B4" s="4" t="s">
        <v>33</v>
      </c>
    </row>
    <row r="5" spans="2:3" x14ac:dyDescent="0.25">
      <c r="B5" s="46" t="s">
        <v>36</v>
      </c>
      <c r="C5" s="52">
        <v>2015</v>
      </c>
    </row>
    <row r="6" spans="2:3" x14ac:dyDescent="0.25">
      <c r="B6" s="46" t="s">
        <v>37</v>
      </c>
      <c r="C6" s="72" t="s">
        <v>87</v>
      </c>
    </row>
    <row r="7" spans="2:3" x14ac:dyDescent="0.25">
      <c r="B7" s="46" t="s">
        <v>114</v>
      </c>
      <c r="C7" s="53" t="s">
        <v>44</v>
      </c>
    </row>
    <row r="8" spans="2:3" x14ac:dyDescent="0.25">
      <c r="B8" s="46" t="s">
        <v>113</v>
      </c>
      <c r="C8" s="71">
        <f>'GDP Deflators'!P5-1</f>
        <v>2.0832073567924381E-2</v>
      </c>
    </row>
    <row r="9" spans="2:3" x14ac:dyDescent="0.25">
      <c r="B9" s="36"/>
      <c r="C9" s="37"/>
    </row>
    <row r="10" spans="2:3" x14ac:dyDescent="0.25">
      <c r="B10" s="38" t="s">
        <v>88</v>
      </c>
      <c r="C10" s="37"/>
    </row>
    <row r="11" spans="2:3" x14ac:dyDescent="0.25">
      <c r="B11" s="46" t="s">
        <v>89</v>
      </c>
      <c r="C11" s="77">
        <f>'Value of Statistical Life'!F10</f>
        <v>9587302.7263098899</v>
      </c>
    </row>
    <row r="12" spans="2:3" x14ac:dyDescent="0.25">
      <c r="B12" s="87" t="s">
        <v>107</v>
      </c>
      <c r="C12" s="88"/>
    </row>
    <row r="14" spans="2:3" x14ac:dyDescent="0.25">
      <c r="B14" s="38" t="s">
        <v>34</v>
      </c>
      <c r="C14" s="37"/>
    </row>
    <row r="15" spans="2:3" x14ac:dyDescent="0.25">
      <c r="B15" s="46" t="s">
        <v>81</v>
      </c>
      <c r="C15" s="51">
        <f>'Value of Travel Time'!D21</f>
        <v>16.100000000000001</v>
      </c>
    </row>
    <row r="16" spans="2:3" x14ac:dyDescent="0.25">
      <c r="B16" s="80" t="s">
        <v>111</v>
      </c>
      <c r="C16" s="81">
        <v>1.2E-2</v>
      </c>
    </row>
    <row r="18" spans="2:3" x14ac:dyDescent="0.25">
      <c r="B18" s="38" t="s">
        <v>35</v>
      </c>
    </row>
    <row r="19" spans="2:3" x14ac:dyDescent="0.25">
      <c r="B19" s="48" t="s">
        <v>83</v>
      </c>
      <c r="C19" s="49">
        <f>'Value of Emissions'!D4</f>
        <v>2083.1541467275511</v>
      </c>
    </row>
    <row r="20" spans="2:3" x14ac:dyDescent="0.25">
      <c r="B20" s="48" t="s">
        <v>84</v>
      </c>
      <c r="C20" s="49">
        <f>'Value of Emissions'!D5</f>
        <v>8208.6069103416321</v>
      </c>
    </row>
    <row r="21" spans="2:3" x14ac:dyDescent="0.25">
      <c r="B21" s="46" t="s">
        <v>48</v>
      </c>
      <c r="C21" s="50">
        <f>(0.267383+0.37942)/2</f>
        <v>0.32340150000000001</v>
      </c>
    </row>
    <row r="22" spans="2:3" x14ac:dyDescent="0.25">
      <c r="B22" s="46" t="s">
        <v>49</v>
      </c>
      <c r="C22" s="50">
        <f>(0.183428+0.198698)/2</f>
        <v>0.19106300000000001</v>
      </c>
    </row>
    <row r="23" spans="2:3" ht="63.75" x14ac:dyDescent="0.25">
      <c r="B23" s="46" t="s">
        <v>45</v>
      </c>
      <c r="C23" s="47" t="s">
        <v>46</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21"/>
  <sheetViews>
    <sheetView zoomScale="85" zoomScaleNormal="85" workbookViewId="0">
      <selection activeCell="D19" sqref="D19"/>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5" t="s">
        <v>71</v>
      </c>
    </row>
    <row r="3" spans="2:8" x14ac:dyDescent="0.25">
      <c r="B3" s="5"/>
    </row>
    <row r="4" spans="2:8" x14ac:dyDescent="0.25">
      <c r="B4" t="s">
        <v>0</v>
      </c>
      <c r="C4" t="s">
        <v>1</v>
      </c>
      <c r="D4" s="1">
        <v>2792941</v>
      </c>
      <c r="E4" s="3">
        <f>D4/D$12</f>
        <v>0.13018346701231348</v>
      </c>
      <c r="G4" t="s">
        <v>2</v>
      </c>
      <c r="H4" s="3">
        <f>SUMIF($C$4:$C$11,G4,$E$4:$E$11)</f>
        <v>0.74413612006105756</v>
      </c>
    </row>
    <row r="5" spans="2:8" x14ac:dyDescent="0.25">
      <c r="B5" t="s">
        <v>0</v>
      </c>
      <c r="C5" t="s">
        <v>2</v>
      </c>
      <c r="D5" s="1">
        <v>10901839</v>
      </c>
      <c r="E5" s="3">
        <f t="shared" ref="E5:E12" si="0">D5/D$12</f>
        <v>0.50815223015096012</v>
      </c>
      <c r="G5" t="s">
        <v>1</v>
      </c>
      <c r="H5" s="3">
        <f>SUMIF($C$4:$C$11,G5,$E$4:$E$11)</f>
        <v>0.21933837248304314</v>
      </c>
    </row>
    <row r="6" spans="2:8" x14ac:dyDescent="0.25">
      <c r="B6" t="s">
        <v>3</v>
      </c>
      <c r="C6" t="s">
        <v>1</v>
      </c>
      <c r="D6" s="1">
        <v>1856330</v>
      </c>
      <c r="E6" s="3">
        <f t="shared" si="0"/>
        <v>8.6526523588922169E-2</v>
      </c>
      <c r="G6" t="s">
        <v>4</v>
      </c>
      <c r="H6" s="3">
        <f>SUMIF($C$4:$C$11,G6,$E$4:$E$11)</f>
        <v>3.6525507455899359E-2</v>
      </c>
    </row>
    <row r="7" spans="2:8" x14ac:dyDescent="0.25">
      <c r="B7" t="s">
        <v>3</v>
      </c>
      <c r="C7" t="s">
        <v>2</v>
      </c>
      <c r="D7" s="1">
        <v>4856431</v>
      </c>
      <c r="E7" s="3">
        <f t="shared" si="0"/>
        <v>0.22636605101435245</v>
      </c>
      <c r="H7" s="3">
        <f>SUM(H4:H6)</f>
        <v>1</v>
      </c>
    </row>
    <row r="8" spans="2:8" x14ac:dyDescent="0.25">
      <c r="B8" t="s">
        <v>72</v>
      </c>
      <c r="C8" t="s">
        <v>4</v>
      </c>
      <c r="D8" s="1">
        <v>101057</v>
      </c>
      <c r="E8" s="3">
        <f t="shared" si="0"/>
        <v>4.7104291232300871E-3</v>
      </c>
    </row>
    <row r="9" spans="2:8" x14ac:dyDescent="0.25">
      <c r="B9" t="s">
        <v>73</v>
      </c>
      <c r="C9" t="s">
        <v>4</v>
      </c>
      <c r="D9" s="1">
        <v>682557</v>
      </c>
      <c r="E9" s="3">
        <f t="shared" si="0"/>
        <v>3.1815078332669271E-2</v>
      </c>
    </row>
    <row r="10" spans="2:8" x14ac:dyDescent="0.25">
      <c r="B10" t="s">
        <v>5</v>
      </c>
      <c r="C10" t="s">
        <v>1</v>
      </c>
      <c r="D10" s="1">
        <v>56389</v>
      </c>
      <c r="E10" s="3">
        <f t="shared" si="0"/>
        <v>2.6283818818075085E-3</v>
      </c>
    </row>
    <row r="11" spans="2:8" x14ac:dyDescent="0.25">
      <c r="B11" t="s">
        <v>6</v>
      </c>
      <c r="C11" t="s">
        <v>2</v>
      </c>
      <c r="D11" s="1">
        <v>206340</v>
      </c>
      <c r="E11" s="3">
        <f t="shared" si="0"/>
        <v>9.6178388957449384E-3</v>
      </c>
    </row>
    <row r="12" spans="2:8" x14ac:dyDescent="0.25">
      <c r="D12" s="2">
        <f>SUM(D4:D11)</f>
        <v>21453884</v>
      </c>
      <c r="E12" s="3">
        <f t="shared" si="0"/>
        <v>1</v>
      </c>
    </row>
    <row r="15" spans="2:8" x14ac:dyDescent="0.25">
      <c r="B15" s="5" t="s">
        <v>115</v>
      </c>
    </row>
    <row r="17" spans="2:4" x14ac:dyDescent="0.25">
      <c r="C17" s="8" t="s">
        <v>65</v>
      </c>
      <c r="D17" s="8" t="s">
        <v>80</v>
      </c>
    </row>
    <row r="18" spans="2:4" x14ac:dyDescent="0.25">
      <c r="B18" s="6" t="s">
        <v>7</v>
      </c>
      <c r="C18" s="7">
        <v>12.42</v>
      </c>
      <c r="D18" s="54">
        <f>C18*(1+'Assumed Values'!$C$16)^(2015-2013)</f>
        <v>12.719868479999999</v>
      </c>
    </row>
    <row r="19" spans="2:4" x14ac:dyDescent="0.25">
      <c r="B19" s="6" t="s">
        <v>8</v>
      </c>
      <c r="C19" s="7">
        <v>25.23</v>
      </c>
      <c r="D19" s="54">
        <f>C19*(1+'Assumed Values'!$C$16)^(2015-2013)</f>
        <v>25.839153119999999</v>
      </c>
    </row>
    <row r="20" spans="2:4" x14ac:dyDescent="0.25">
      <c r="B20" s="6" t="s">
        <v>4</v>
      </c>
      <c r="C20" s="7">
        <v>25.75</v>
      </c>
      <c r="D20" s="54">
        <f>C20*(1+'Assumed Values'!$C$16)^(2015-2013)</f>
        <v>26.371707999999998</v>
      </c>
    </row>
    <row r="21" spans="2:4" x14ac:dyDescent="0.25">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0"/>
  <sheetViews>
    <sheetView zoomScale="85" zoomScaleNormal="85" workbookViewId="0">
      <selection activeCell="F5" sqref="F5"/>
    </sheetView>
  </sheetViews>
  <sheetFormatPr defaultRowHeight="15" x14ac:dyDescent="0.25"/>
  <cols>
    <col min="2" max="2" width="14" customWidth="1"/>
    <col min="3" max="3" width="16.7109375" customWidth="1"/>
    <col min="4" max="4" width="14.5703125" bestFit="1" customWidth="1"/>
    <col min="5" max="5" width="17.85546875" bestFit="1" customWidth="1"/>
    <col min="6" max="6" width="17.28515625" bestFit="1" customWidth="1"/>
    <col min="7" max="7" width="10.140625" bestFit="1" customWidth="1"/>
  </cols>
  <sheetData>
    <row r="2" spans="2:6" x14ac:dyDescent="0.25">
      <c r="B2" s="5" t="s">
        <v>116</v>
      </c>
    </row>
    <row r="4" spans="2:6" x14ac:dyDescent="0.25">
      <c r="B4" s="73" t="s">
        <v>90</v>
      </c>
      <c r="C4" s="73" t="s">
        <v>91</v>
      </c>
      <c r="D4" s="73" t="s">
        <v>92</v>
      </c>
      <c r="E4" s="73" t="s">
        <v>93</v>
      </c>
      <c r="F4" s="73" t="s">
        <v>106</v>
      </c>
    </row>
    <row r="5" spans="2:6" x14ac:dyDescent="0.25">
      <c r="B5" s="74" t="s">
        <v>94</v>
      </c>
      <c r="C5" s="74" t="s">
        <v>95</v>
      </c>
      <c r="D5" s="76">
        <v>3.0000000000000001E-3</v>
      </c>
      <c r="E5" s="75">
        <v>27600</v>
      </c>
      <c r="F5" s="75">
        <f>E5*(1+'Assumed Values'!$C$8)^(2015-2013)</f>
        <v>28761.908178929672</v>
      </c>
    </row>
    <row r="6" spans="2:6" x14ac:dyDescent="0.25">
      <c r="B6" s="74" t="s">
        <v>96</v>
      </c>
      <c r="C6" s="74" t="s">
        <v>97</v>
      </c>
      <c r="D6" s="76">
        <v>4.7E-2</v>
      </c>
      <c r="E6" s="75">
        <v>432400</v>
      </c>
      <c r="F6" s="75">
        <f>E6*(1+'Assumed Values'!$C$8)^(2015-2013)</f>
        <v>450603.22813656484</v>
      </c>
    </row>
    <row r="7" spans="2:6" x14ac:dyDescent="0.25">
      <c r="B7" s="74" t="s">
        <v>98</v>
      </c>
      <c r="C7" s="74" t="s">
        <v>99</v>
      </c>
      <c r="D7" s="76">
        <v>0.105</v>
      </c>
      <c r="E7" s="75">
        <v>966000</v>
      </c>
      <c r="F7" s="75">
        <f>E7*(1+'Assumed Values'!$C$8)^(2015-2013)</f>
        <v>1006666.7862625385</v>
      </c>
    </row>
    <row r="8" spans="2:6" x14ac:dyDescent="0.25">
      <c r="B8" s="74" t="s">
        <v>100</v>
      </c>
      <c r="C8" s="74" t="s">
        <v>101</v>
      </c>
      <c r="D8" s="76">
        <v>0.26600000000000001</v>
      </c>
      <c r="E8" s="75">
        <v>2447200</v>
      </c>
      <c r="F8" s="75">
        <f>E8*(1+'Assumed Values'!$C$8)^(2015-2013)</f>
        <v>2550222.5251984308</v>
      </c>
    </row>
    <row r="9" spans="2:6" x14ac:dyDescent="0.25">
      <c r="B9" s="74" t="s">
        <v>102</v>
      </c>
      <c r="C9" s="74" t="s">
        <v>103</v>
      </c>
      <c r="D9" s="76">
        <v>0.59299999999999997</v>
      </c>
      <c r="E9" s="75">
        <v>5455600</v>
      </c>
      <c r="F9" s="75">
        <f>E9*(1+'Assumed Values'!$C$8)^(2015-2013)</f>
        <v>5685270.5167017654</v>
      </c>
    </row>
    <row r="10" spans="2:6" x14ac:dyDescent="0.25">
      <c r="B10" s="74" t="s">
        <v>104</v>
      </c>
      <c r="C10" s="74" t="s">
        <v>105</v>
      </c>
      <c r="D10" s="76">
        <v>1</v>
      </c>
      <c r="E10" s="75">
        <v>9200000</v>
      </c>
      <c r="F10" s="75">
        <f>E10*(1+'Assumed Values'!$C$8)^(2015-2013)</f>
        <v>9587302.7263098899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D5"/>
  <sheetViews>
    <sheetView workbookViewId="0">
      <selection activeCell="D4" sqref="D4"/>
    </sheetView>
  </sheetViews>
  <sheetFormatPr defaultRowHeight="15" x14ac:dyDescent="0.25"/>
  <cols>
    <col min="1" max="1" width="2.85546875" customWidth="1"/>
    <col min="2" max="2" width="33.7109375" customWidth="1"/>
    <col min="3" max="4" width="20" bestFit="1" customWidth="1"/>
  </cols>
  <sheetData>
    <row r="1" spans="2:4" x14ac:dyDescent="0.25">
      <c r="B1" s="5" t="s">
        <v>47</v>
      </c>
    </row>
    <row r="2" spans="2:4" x14ac:dyDescent="0.25">
      <c r="B2" s="5"/>
    </row>
    <row r="3" spans="2:4" x14ac:dyDescent="0.25">
      <c r="B3" s="55" t="s">
        <v>10</v>
      </c>
      <c r="C3" s="55" t="s">
        <v>74</v>
      </c>
      <c r="D3" s="55" t="s">
        <v>82</v>
      </c>
    </row>
    <row r="4" spans="2:4" x14ac:dyDescent="0.25">
      <c r="B4" s="48" t="s">
        <v>11</v>
      </c>
      <c r="C4" s="70">
        <v>1999</v>
      </c>
      <c r="D4" s="70">
        <f>C4*(1+'Assumed Values'!$C$8)^(2015-2013)</f>
        <v>2083.1541467275511</v>
      </c>
    </row>
    <row r="5" spans="2:4" x14ac:dyDescent="0.25">
      <c r="B5" s="48" t="s">
        <v>12</v>
      </c>
      <c r="C5" s="49">
        <v>7877</v>
      </c>
      <c r="D5" s="70">
        <f>C5*(1+'Assumed Values'!$C$8)^(2015-2013)</f>
        <v>8208.6069103416321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P9"/>
  <sheetViews>
    <sheetView workbookViewId="0">
      <selection activeCell="P5" sqref="P5"/>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25">
      <c r="A2" s="4" t="s">
        <v>38</v>
      </c>
      <c r="B2" s="39"/>
      <c r="C2" s="39"/>
      <c r="D2" s="39"/>
      <c r="E2" s="39"/>
      <c r="F2" s="39"/>
      <c r="G2" s="39"/>
      <c r="H2" s="39"/>
      <c r="I2" s="39"/>
      <c r="J2" s="39"/>
      <c r="K2" s="39"/>
      <c r="L2" s="39"/>
      <c r="M2" s="39"/>
      <c r="N2" s="39"/>
    </row>
    <row r="3" spans="1:16" x14ac:dyDescent="0.25">
      <c r="A3" s="39"/>
      <c r="B3" s="40">
        <v>2000</v>
      </c>
      <c r="C3" s="40">
        <v>2001</v>
      </c>
      <c r="D3" s="40">
        <v>2002</v>
      </c>
      <c r="E3" s="40">
        <v>2003</v>
      </c>
      <c r="F3" s="40">
        <v>2004</v>
      </c>
      <c r="G3" s="40">
        <v>2005</v>
      </c>
      <c r="H3" s="40">
        <v>2006</v>
      </c>
      <c r="I3" s="40">
        <v>2007</v>
      </c>
      <c r="J3" s="40">
        <v>2008</v>
      </c>
      <c r="K3" s="40">
        <v>2009</v>
      </c>
      <c r="L3" s="40">
        <v>2010</v>
      </c>
      <c r="M3" s="40">
        <v>2011</v>
      </c>
      <c r="N3" s="40">
        <v>2012</v>
      </c>
      <c r="O3" s="40">
        <v>2013</v>
      </c>
      <c r="P3" s="40" t="s">
        <v>79</v>
      </c>
    </row>
    <row r="4" spans="1:16" x14ac:dyDescent="0.25">
      <c r="A4" s="41" t="s">
        <v>41</v>
      </c>
      <c r="B4" s="42">
        <v>81.891000000000005</v>
      </c>
      <c r="C4" s="42">
        <v>83.766000000000005</v>
      </c>
      <c r="D4" s="42">
        <v>85.054000000000002</v>
      </c>
      <c r="E4" s="42">
        <v>86.754000000000005</v>
      </c>
      <c r="F4" s="42">
        <v>89.132000000000005</v>
      </c>
      <c r="G4" s="42">
        <v>91.991</v>
      </c>
      <c r="H4" s="42">
        <v>94.817999999999998</v>
      </c>
      <c r="I4" s="42">
        <v>97.334999999999994</v>
      </c>
      <c r="J4" s="42">
        <v>99.236000000000004</v>
      </c>
      <c r="K4" s="42">
        <v>100</v>
      </c>
      <c r="L4" s="42">
        <v>101.211</v>
      </c>
      <c r="M4" s="43">
        <v>103.199</v>
      </c>
      <c r="N4" s="43">
        <v>105.002</v>
      </c>
      <c r="O4" s="43">
        <v>106.58799999999999</v>
      </c>
      <c r="P4" s="43"/>
    </row>
    <row r="5" spans="1:16" x14ac:dyDescent="0.25">
      <c r="A5" s="41" t="s">
        <v>42</v>
      </c>
      <c r="B5" s="42">
        <f t="shared" ref="B5:H5" si="0">C4/B4</f>
        <v>1.0228962889694839</v>
      </c>
      <c r="C5" s="42">
        <f t="shared" si="0"/>
        <v>1.0153761669412411</v>
      </c>
      <c r="D5" s="42">
        <f t="shared" si="0"/>
        <v>1.0199873021844945</v>
      </c>
      <c r="E5" s="42">
        <f t="shared" si="0"/>
        <v>1.0274108398460013</v>
      </c>
      <c r="F5" s="42">
        <f t="shared" si="0"/>
        <v>1.0320760220796121</v>
      </c>
      <c r="G5" s="42">
        <f t="shared" si="0"/>
        <v>1.0307312671891815</v>
      </c>
      <c r="H5" s="42">
        <f t="shared" si="0"/>
        <v>1.0265455926089984</v>
      </c>
      <c r="I5" s="42">
        <f>J4/I4</f>
        <v>1.0195304874916526</v>
      </c>
      <c r="J5" s="42">
        <f t="shared" ref="J5:N5" si="1">K4/J4</f>
        <v>1.0076988189769842</v>
      </c>
      <c r="K5" s="42">
        <f t="shared" si="1"/>
        <v>1.0121100000000001</v>
      </c>
      <c r="L5" s="42">
        <f t="shared" si="1"/>
        <v>1.0196421337601644</v>
      </c>
      <c r="M5" s="42">
        <f t="shared" si="1"/>
        <v>1.0174710995261582</v>
      </c>
      <c r="N5" s="42">
        <f t="shared" si="1"/>
        <v>1.0151044742004913</v>
      </c>
      <c r="O5" s="42"/>
      <c r="P5" s="42">
        <f>AVERAGE(E5:N5)</f>
        <v>1.0208320735679244</v>
      </c>
    </row>
    <row r="6" spans="1:16" x14ac:dyDescent="0.25">
      <c r="A6" s="41" t="s">
        <v>43</v>
      </c>
      <c r="B6" s="42">
        <f t="shared" ref="B6:H6" si="2">$N4/B4</f>
        <v>1.2822166049993282</v>
      </c>
      <c r="C6" s="42">
        <f t="shared" si="2"/>
        <v>1.2535157462454933</v>
      </c>
      <c r="D6" s="42">
        <f t="shared" si="2"/>
        <v>1.2345333552801749</v>
      </c>
      <c r="E6" s="42">
        <f t="shared" si="2"/>
        <v>1.2103418862530833</v>
      </c>
      <c r="F6" s="42">
        <f t="shared" si="2"/>
        <v>1.178050531795539</v>
      </c>
      <c r="G6" s="42">
        <f t="shared" si="2"/>
        <v>1.1414377493450445</v>
      </c>
      <c r="H6" s="42">
        <f t="shared" si="2"/>
        <v>1.1074057668375203</v>
      </c>
      <c r="I6" s="42">
        <f>$N4/I4</f>
        <v>1.0787691991575488</v>
      </c>
      <c r="J6" s="42">
        <f t="shared" ref="J6:N6" si="3">$N4/J4</f>
        <v>1.0581039139022128</v>
      </c>
      <c r="K6" s="42">
        <f t="shared" si="3"/>
        <v>1.05002</v>
      </c>
      <c r="L6" s="42">
        <f t="shared" si="3"/>
        <v>1.0374564029601525</v>
      </c>
      <c r="M6" s="42">
        <f t="shared" si="3"/>
        <v>1.0174710995261582</v>
      </c>
      <c r="N6" s="42">
        <f t="shared" si="3"/>
        <v>1</v>
      </c>
      <c r="O6" s="42">
        <f t="shared" ref="O6" si="4">$N4/O4</f>
        <v>0.98512027620370024</v>
      </c>
      <c r="P6" s="42"/>
    </row>
    <row r="8" spans="1:16" x14ac:dyDescent="0.25">
      <c r="A8" s="44" t="s">
        <v>39</v>
      </c>
    </row>
    <row r="9" spans="1:16" x14ac:dyDescent="0.25">
      <c r="A9" s="45" t="s">
        <v>40</v>
      </c>
    </row>
  </sheetData>
  <hyperlinks>
    <hyperlink ref="A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Instructions</vt:lpstr>
      <vt:lpstr>ITS Delay Worksheet</vt:lpstr>
      <vt:lpstr>Emissions Reduction Worksheet</vt:lpstr>
      <vt:lpstr>Calculations</vt:lpstr>
      <vt:lpstr>Assumed Values</vt:lpstr>
      <vt:lpstr>Value of Travel Time</vt:lpstr>
      <vt:lpstr>Value of Statistical Life</vt:lpstr>
      <vt:lpstr>Value of Emissions</vt:lpstr>
      <vt:lpstr>GDP Deflators</vt:lpstr>
      <vt:lpstr>_2018_2025_Demand_Growth</vt:lpstr>
      <vt:lpstr>_2018_2025_V_C_Growth</vt:lpstr>
      <vt:lpstr>_2018_2040_Demand_Growth</vt:lpstr>
      <vt:lpstr>_2018_2040_V_C_Growth</vt:lpstr>
      <vt:lpstr>_2018_V_C_Ratio</vt:lpstr>
      <vt:lpstr>_2025_2040_Demand_Growth</vt:lpstr>
      <vt:lpstr>_2025_2040_V_C_Growth</vt:lpstr>
      <vt:lpstr>_2025_V_C_Ratio</vt:lpstr>
      <vt:lpstr>_2040_V_C_Ratio</vt:lpstr>
      <vt:lpstr>Application_ID_Number</vt:lpstr>
      <vt:lpstr>Base_Year</vt:lpstr>
      <vt:lpstr>Benefit_Values_YOE_Nominal?__1_if_yes__0_if_real</vt:lpstr>
      <vt:lpstr>Future_Capital_Costs_Nominal_to_Real_Conversion_Rate</vt:lpstr>
      <vt:lpstr>Initial_Year_of_Analysis?</vt:lpstr>
      <vt:lpstr>Name</vt:lpstr>
      <vt:lpstr>'Assumed Values'!Print_Area</vt:lpstr>
      <vt:lpstr>Calculations!Print_Area</vt:lpstr>
      <vt:lpstr>'Emissions Reduction Worksheet'!Print_Area</vt:lpstr>
      <vt:lpstr>Instructions!Print_Area</vt:lpstr>
      <vt:lpstr>'ITS Delay Worksheet'!Print_Area</vt:lpstr>
      <vt:lpstr>Sponsor_ID_Number__CSJ__etc.</vt:lpstr>
      <vt:lpstr>Value_of_Benefit_Savings__2015_____000s</vt:lpstr>
      <vt:lpstr>Value_of_Delay_Savings__2015_____000s</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Jodie James</cp:lastModifiedBy>
  <cp:lastPrinted>2014-11-11T16:55:33Z</cp:lastPrinted>
  <dcterms:created xsi:type="dcterms:W3CDTF">2012-07-25T15:48:32Z</dcterms:created>
  <dcterms:modified xsi:type="dcterms:W3CDTF">2015-01-12T19:43:31Z</dcterms:modified>
</cp:coreProperties>
</file>