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0_IH10/"/>
    </mc:Choice>
  </mc:AlternateContent>
  <xr:revisionPtr revIDLastSave="22" documentId="8_{D4691DDA-5563-409E-9C5A-27B37E201467}" xr6:coauthVersionLast="40" xr6:coauthVersionMax="40" xr10:uidLastSave="{276E1356-C400-4F35-9C4C-A0A827A9B719}"/>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0" i="12"/>
  <c r="B9" i="12"/>
  <c r="O5" i="12"/>
  <c r="N5" i="12"/>
  <c r="O6" i="12"/>
  <c r="N6" i="12"/>
  <c r="O7" i="12"/>
  <c r="N7" i="12"/>
  <c r="O8" i="12"/>
  <c r="N8" i="12"/>
  <c r="O9" i="12"/>
  <c r="N9" i="12"/>
  <c r="O10" i="12"/>
  <c r="N10" i="12"/>
  <c r="O11" i="12"/>
  <c r="N11" i="12"/>
  <c r="O12" i="12"/>
  <c r="N12" i="12"/>
  <c r="O13" i="12"/>
  <c r="N13" i="12"/>
  <c r="B11"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28" i="12"/>
  <c r="O20" i="12"/>
  <c r="O29" i="12"/>
  <c r="O21" i="12"/>
  <c r="O16" i="12"/>
  <c r="O27" i="12"/>
  <c r="O25" i="12"/>
  <c r="O26" i="12"/>
  <c r="O18" i="12"/>
  <c r="O19" i="12"/>
  <c r="O22" i="12"/>
  <c r="O14" i="12"/>
  <c r="O23" i="12"/>
  <c r="B15" i="12"/>
  <c r="M5" i="12"/>
  <c r="S5" i="12"/>
  <c r="P5" i="12"/>
  <c r="Q5" i="12"/>
  <c r="R5" i="12"/>
  <c r="P6" i="12"/>
  <c r="Q6" i="12"/>
  <c r="R6"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E4" i="12"/>
  <c r="E5" i="12"/>
  <c r="E6" i="12"/>
  <c r="N14" i="12"/>
  <c r="N15" i="12"/>
  <c r="N16" i="12"/>
  <c r="N17" i="12"/>
  <c r="N18" i="12"/>
  <c r="N19" i="12"/>
  <c r="N20" i="12"/>
  <c r="N21" i="12"/>
  <c r="N22" i="12"/>
  <c r="N23" i="12"/>
  <c r="N24" i="12"/>
  <c r="N25" i="12"/>
  <c r="N26" i="12"/>
  <c r="N27" i="12"/>
  <c r="N28" i="12"/>
  <c r="N29" i="12"/>
  <c r="N30" i="12"/>
  <c r="N31" i="12"/>
  <c r="N32" i="12"/>
  <c r="N33" i="12"/>
  <c r="N34" i="12"/>
  <c r="N35" i="12"/>
  <c r="N36" i="12"/>
  <c r="R7" i="12"/>
  <c r="T6" i="12"/>
  <c r="U6" i="12"/>
  <c r="T5" i="12"/>
  <c r="U5" i="12"/>
  <c r="T7" i="12"/>
  <c r="U7" i="12"/>
  <c r="R8" i="12"/>
  <c r="T8" i="12"/>
  <c r="U8" i="12"/>
  <c r="R9" i="12"/>
  <c r="T9" i="12"/>
  <c r="U9" i="12"/>
  <c r="R10" i="12"/>
  <c r="T10" i="12"/>
  <c r="U10" i="12"/>
  <c r="R11" i="12"/>
  <c r="T11" i="12"/>
  <c r="U11" i="12"/>
  <c r="R12" i="12"/>
  <c r="T12" i="12"/>
  <c r="U12" i="12"/>
  <c r="E19" i="12"/>
  <c r="F26" i="12"/>
  <c r="E17" i="12"/>
  <c r="D26" i="12"/>
  <c r="E20" i="12"/>
  <c r="G26" i="12"/>
  <c r="E22" i="12"/>
  <c r="I26" i="12"/>
  <c r="E18" i="12"/>
  <c r="E26" i="12"/>
  <c r="E21" i="12"/>
  <c r="H26" i="12"/>
  <c r="E32" i="12"/>
  <c r="E29" i="12"/>
  <c r="E31" i="12"/>
  <c r="E28" i="12"/>
  <c r="E33" i="12"/>
  <c r="E30" i="12"/>
  <c r="E27" i="12"/>
  <c r="I28" i="12"/>
  <c r="I32" i="12"/>
  <c r="I30" i="12"/>
  <c r="I29" i="12"/>
  <c r="I33" i="12"/>
  <c r="I31" i="12"/>
  <c r="I27" i="12"/>
  <c r="G29" i="12"/>
  <c r="G33" i="12"/>
  <c r="G27" i="12"/>
  <c r="G31" i="12"/>
  <c r="G28" i="12"/>
  <c r="G32" i="12"/>
  <c r="G30" i="12"/>
  <c r="D28" i="12"/>
  <c r="F28" i="12"/>
  <c r="H28" i="12"/>
  <c r="J28" i="12"/>
  <c r="D30" i="12"/>
  <c r="F30" i="12"/>
  <c r="H30" i="12"/>
  <c r="J30" i="12"/>
  <c r="D33" i="12"/>
  <c r="F33" i="12"/>
  <c r="H33" i="12"/>
  <c r="J33" i="12"/>
  <c r="D27" i="12"/>
  <c r="F27" i="12"/>
  <c r="H27" i="12"/>
  <c r="J27" i="12"/>
  <c r="D31" i="12"/>
  <c r="F31" i="12"/>
  <c r="H31" i="12"/>
  <c r="J31" i="12"/>
  <c r="D29" i="12"/>
  <c r="F29" i="12"/>
  <c r="H29" i="12"/>
  <c r="J29" i="12"/>
  <c r="D32" i="12"/>
  <c r="F32" i="12"/>
  <c r="H32" i="12"/>
  <c r="J32" i="12"/>
  <c r="J5"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<sst xmlns="http://schemas.openxmlformats.org/spreadsheetml/2006/main" count="441" uniqueCount="286">
  <si>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</si>
  <si>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</si>
  <si>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</si>
  <si>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</si>
  <si>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</si>
  <si>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</si>
  <si>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</si>
  <si>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</si>
  <si>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</si>
  <si>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</si>
  <si>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</si>
  <si>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</si>
  <si>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</si>
  <si>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</si>
  <si>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</si>
  <si>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</si>
  <si>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</si>
  <si>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</si>
  <si>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</si>
  <si>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</si>
  <si>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</si>
  <si>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</si>
  <si>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</si>
  <si>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</si>
  <si>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</si>
  <si>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</si>
  <si>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</si>
  <si>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</si>
  <si>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</si>
  <si>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</si>
  <si>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</si>
  <si>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</si>
  <si>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</si>
  <si>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</si>
  <si>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</si>
  <si>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</si>
  <si>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</si>
  <si>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</si>
  <si>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</si>
  <si>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</si>
  <si>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</si>
  <si>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</si>
  <si>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</si>
  <si>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</si>
  <si>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</si>
  <si>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</si>
  <si>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</si>
  <si>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</si>
  <si>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10/FM 1410 Overpass Reversal</t>
  </si>
  <si>
    <t>County</t>
  </si>
  <si>
    <t>Chambers</t>
  </si>
  <si>
    <t>Data entered by the sponsors</t>
  </si>
  <si>
    <t>Facility Type</t>
  </si>
  <si>
    <t xml:space="preserve">Freeway </t>
  </si>
  <si>
    <t>HGAC regional travel demand model data provided by HGAC upon request</t>
  </si>
  <si>
    <t>Street Name:</t>
  </si>
  <si>
    <t>IH10</t>
  </si>
  <si>
    <t>Populated based on selection in cell "C18"</t>
  </si>
  <si>
    <t>Limits (From)</t>
  </si>
  <si>
    <t>At FM 1410</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</si>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</sst>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0"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28.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0.99</v>
      </c>
      <c r="D12" s="79"/>
      <c r="N12" s="134"/>
      <c r="O12" s="134"/>
      <c r="P12" s="134"/>
      <c r="Q12" s="134"/>
      <c r="R12" s="134"/>
      <c r="S12" s="134"/>
    </row>
    <row r="13" spans="2:19">
      <c r="B13" s="3" t="s">
        <v>64</v>
      </c>
      <c r="C13" s="97">
        <v>248</v>
      </c>
      <c r="D13" s="53"/>
    </row>
    <row r="14" spans="2:19">
      <c r="B14" s="3" t="s">
        <v>65</v>
      </c>
      <c r="C14" s="97" t="s">
        <v>66</v>
      </c>
      <c r="D14" s="53"/>
      <c r="G14" s="90"/>
    </row>
    <row r="15" spans="2:19">
      <c r="C15" s="53"/>
      <c r="D15" s="53"/>
    </row>
    <row r="16" spans="2:19">
      <c r="B16" s="5" t="s">
        <v>67</v>
      </c>
    </row>
    <row r="17" spans="2:13">
      <c r="B17" s="3" t="s">
        <v>68</v>
      </c>
      <c r="C17" s="97">
        <v>2027</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76633</v>
      </c>
      <c r="D25" s="82"/>
      <c r="I25" s="41"/>
    </row>
    <row r="26" spans="2:13">
      <c r="I26" s="41"/>
    </row>
    <row r="27" spans="2:13">
      <c r="B27" s="73" t="s">
        <v>76</v>
      </c>
      <c r="C27" s="74">
        <v>30638</v>
      </c>
      <c r="D27" s="82"/>
      <c r="I27" s="41"/>
    </row>
    <row r="28" spans="2:13">
      <c r="B28" s="73" t="s">
        <v>77</v>
      </c>
      <c r="C28" s="74">
        <v>90286</v>
      </c>
      <c r="D28" s="82"/>
      <c r="I28" s="41"/>
    </row>
    <row r="29" spans="2:13">
      <c r="B29" s="73" t="s">
        <v>78</v>
      </c>
      <c r="C29" s="75">
        <v>36153</v>
      </c>
      <c r="D29" s="58"/>
      <c r="I29" s="41"/>
    </row>
    <row r="30" spans="2:13">
      <c r="B30" s="73" t="s">
        <v>79</v>
      </c>
      <c r="C30" s="75">
        <v>90286</v>
      </c>
      <c r="D30" s="58"/>
      <c r="I30" s="41"/>
    </row>
    <row r="31" spans="2:13">
      <c r="B31" s="73" t="s">
        <v>80</v>
      </c>
      <c r="C31" s="74">
        <v>48278</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2608.0389505393609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93080.830540422874</v>
      </c>
      <c r="G4" s="137" t="s">
        <v>95</v>
      </c>
      <c r="H4" s="137"/>
      <c r="I4" s="137"/>
      <c r="J4" s="137"/>
      <c r="L4" s="106"/>
      <c r="M4" s="107">
        <v>2018</v>
      </c>
      <c r="N4" s="108">
        <f>_2018_Volume_ADT</f>
        <v>76633</v>
      </c>
      <c r="O4" s="109" t="s">
        <v>96</v>
      </c>
      <c r="P4" s="110">
        <f>MIN(B12,1)</f>
        <v>0.33934386283587709</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92150.022235018638</v>
      </c>
      <c r="G5" s="138" t="s">
        <v>99</v>
      </c>
      <c r="H5" s="138"/>
      <c r="I5" s="138"/>
      <c r="J5" s="111">
        <f>SUMPRODUCT(Possible_Crash_Reductions,'Value of Statistical Life'!E5:E11)</f>
        <v>344502.11132364155</v>
      </c>
      <c r="L5" s="106"/>
      <c r="M5" s="11">
        <f t="shared" ref="M5:M36" si="1">M4+1</f>
        <v>2019</v>
      </c>
      <c r="N5" s="112">
        <f>N4+(N4*O5)</f>
        <v>78466.622665223142</v>
      </c>
      <c r="O5" s="113">
        <f t="shared" ref="O5:O11" si="2">IF(ISERROR(_2025_2045_Demand_Growth),_2018_2045_Demand_Growth,_2018_2025_Demand_Growth)</f>
        <v>2.3927324588925769E-2</v>
      </c>
      <c r="P5" s="114">
        <f t="shared" ref="P5:P11" si="3">P4*(1+IFERROR(_2018_2025_V_C_Growth,_2018_2045_V_C_Growth))</f>
        <v>0.34746345358921105</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23959005.781104844</v>
      </c>
      <c r="L6" s="106"/>
      <c r="M6" s="107">
        <f t="shared" si="1"/>
        <v>2020</v>
      </c>
      <c r="N6" s="112">
        <f t="shared" ref="N6:N36" si="6">N5+(N5*O6)</f>
        <v>80344.119015130695</v>
      </c>
      <c r="O6" s="113">
        <f t="shared" si="2"/>
        <v>2.3927324588925769E-2</v>
      </c>
      <c r="P6" s="114">
        <f t="shared" si="3"/>
        <v>0.35577732442602922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82266.538829617013</v>
      </c>
      <c r="O7" s="113">
        <f t="shared" si="2"/>
        <v>2.3927324588925769E-2</v>
      </c>
      <c r="P7" s="114">
        <f t="shared" si="3"/>
        <v>0.36429012394895038</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84234.957007000718</v>
      </c>
      <c r="O8" s="113">
        <f t="shared" si="2"/>
        <v>2.3927324588925769E-2</v>
      </c>
      <c r="P8" s="114">
        <f t="shared" si="3"/>
        <v>0.37300661198921692</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2.3927324588925769E-2</v>
      </c>
      <c r="D9" s="39" t="s">
        <v>104</v>
      </c>
      <c r="E9" s="119">
        <f>IF('Inputs &amp; Outputs'!$C$8='CRASH RATES'!$D$3, VLOOKUP('Inputs &amp; Outputs'!$C$7,'CRASH RATES'!$C$14:$J$21,3,FALSE), VLOOKUP('Inputs &amp; Outputs'!$C$7,'CRASH RATES'!$C$28:$J$35,3,FALSE))</f>
        <v>0</v>
      </c>
      <c r="F9" s="85"/>
      <c r="L9" s="106"/>
      <c r="M9" s="11">
        <f t="shared" si="1"/>
        <v>2023</v>
      </c>
      <c r="N9" s="112">
        <f t="shared" si="6"/>
        <v>86250.474165041436</v>
      </c>
      <c r="O9" s="113">
        <f t="shared" si="2"/>
        <v>2.3927324588925769E-2</v>
      </c>
      <c r="P9" s="114">
        <f t="shared" si="3"/>
        <v>0.38193166226809838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1.4565865099311681E-2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88314.217256337142</v>
      </c>
      <c r="O10" s="113">
        <f t="shared" si="2"/>
        <v>2.3927324588925769E-2</v>
      </c>
      <c r="P10" s="114">
        <f t="shared" si="3"/>
        <v>0.39107026512197512</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1.6984660025435971E-2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90427.340198446429</v>
      </c>
      <c r="O11" s="113">
        <f t="shared" si="2"/>
        <v>2.3927324588925769E-2</v>
      </c>
      <c r="P11" s="114">
        <f t="shared" si="3"/>
        <v>0.4004275302926259</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6">
      <c r="A12" s="39" t="s">
        <v>109</v>
      </c>
      <c r="B12" s="120">
        <f>'Inputs &amp; Outputs'!C27/_2018_Peak_Period_Capacity</f>
        <v>0.33934386283587709</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91744.492637066563</v>
      </c>
      <c r="O12" s="113">
        <f t="shared" ref="O12:O36" si="7">IFERROR(_2025_2045_Demand_Growth,_2018_2045_Demand_Growth)</f>
        <v>1.4565865099311681E-2</v>
      </c>
      <c r="P12" s="114">
        <f t="shared" ref="P12:P36" si="8">P11*(1+IFERROR(_2025_2040_V_C_Growth,_2018_2045_V_C_Growth))</f>
        <v>0.4062601036809188</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6">
      <c r="A13" s="39" t="s">
        <v>111</v>
      </c>
      <c r="B13" s="120">
        <f>_2025_Peak_Period_Volume/_2025_Peak_Period_Capacity</f>
        <v>0.40042753029262568</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93080.830540422874</v>
      </c>
      <c r="O13" s="113">
        <f t="shared" si="7"/>
        <v>1.4565865099311681E-2</v>
      </c>
      <c r="P13" s="114">
        <f t="shared" si="8"/>
        <v>0.41217763354636744</v>
      </c>
      <c r="Q13" s="115">
        <f t="shared" si="4"/>
        <v>1</v>
      </c>
      <c r="R13" s="30">
        <f>IF(M13=Year_Open_to_Traffic?,Calculations!$J$5,Calculations!R12+(Calculations!R12*Calculations!O13*Q13))</f>
        <v>344502.11132364155</v>
      </c>
      <c r="S13" s="45">
        <f t="shared" si="0"/>
        <v>1</v>
      </c>
      <c r="T13" s="30">
        <f t="shared" si="5"/>
        <v>344.50211132364154</v>
      </c>
      <c r="U13" s="31">
        <f>T13/(1+Real_Discount_Rate)^(Calculations!M13-'Assumed Values'!$C$5)</f>
        <v>187.38632274040913</v>
      </c>
    </row>
    <row r="14" spans="1:21" ht="15.6">
      <c r="A14" s="39" t="s">
        <v>113</v>
      </c>
      <c r="B14" s="120">
        <f>_2045_Peak_Period_Volume/_2045_Peak_Period_Capacity</f>
        <v>0.53472299138293866</v>
      </c>
      <c r="D14" s="39" t="s">
        <v>114</v>
      </c>
      <c r="E14" s="119">
        <f>IF('Inputs &amp; Outputs'!$C$8='CRASH RATES'!$D$3, VLOOKUP('Inputs &amp; Outputs'!$C$7,'CRASH RATES'!$C$14:$J$21,8,FALSE), VLOOKUP('Inputs &amp; Outputs'!$C$7,'CRASH RATES'!$C$28:$J$35,8,FALSE))</f>
        <v>1.4317516877815335</v>
      </c>
      <c r="F14" s="85"/>
      <c r="L14" s="106"/>
      <c r="M14" s="107">
        <f>M13+1</f>
        <v>2028</v>
      </c>
      <c r="N14" s="112">
        <f t="shared" si="6"/>
        <v>94436.633361406566</v>
      </c>
      <c r="O14" s="113">
        <f t="shared" si="7"/>
        <v>1.4565865099311681E-2</v>
      </c>
      <c r="P14" s="114">
        <f>P13*(1+IFERROR(_2025_2040_V_C_Growth,_2018_2045_V_C_Growth))</f>
        <v>0.41818135735355733</v>
      </c>
      <c r="Q14" s="115">
        <f t="shared" si="4"/>
        <v>1</v>
      </c>
      <c r="R14" s="30">
        <f>IF(M14=Year_Open_to_Traffic?,Calculations!$J$5,Calculations!R13+(Calculations!R13*Calculations!O14*Q14))</f>
        <v>349520.08260360977</v>
      </c>
      <c r="S14" s="45">
        <f t="shared" si="0"/>
        <v>1</v>
      </c>
      <c r="T14" s="30">
        <f t="shared" si="5"/>
        <v>349.52008260360975</v>
      </c>
      <c r="U14" s="31">
        <f>T14/(1+Real_Discount_Rate)^(Calculations!M14-'Assumed Values'!$C$5)</f>
        <v>177.67828657841312</v>
      </c>
    </row>
    <row r="15" spans="1:21" ht="15.6">
      <c r="A15" s="39" t="s">
        <v>115</v>
      </c>
      <c r="B15" s="118">
        <f>(B13/B12)^(1/(2025-2018))-1</f>
        <v>2.3927324588925769E-2</v>
      </c>
      <c r="L15" s="106"/>
      <c r="M15" s="11">
        <f>M14+1</f>
        <v>2029</v>
      </c>
      <c r="N15" s="112">
        <f t="shared" si="6"/>
        <v>95812.184623381967</v>
      </c>
      <c r="O15" s="113">
        <f t="shared" si="7"/>
        <v>1.4565865099311681E-2</v>
      </c>
      <c r="P15" s="114">
        <f>P14*(1+IFERROR(_2025_2040_V_C_Growth,_2018_2045_V_C_Growth))</f>
        <v>0.4242725305918163</v>
      </c>
      <c r="Q15" s="115">
        <f t="shared" si="4"/>
        <v>1</v>
      </c>
      <c r="R15" s="30">
        <f>IF(M15=Year_Open_to_Traffic?,Calculations!$J$5,Calculations!R14+(Calculations!R14*Calculations!O15*Q15))</f>
        <v>354611.14497631422</v>
      </c>
      <c r="S15" s="45">
        <f t="shared" si="0"/>
        <v>1</v>
      </c>
      <c r="T15" s="30">
        <f t="shared" si="5"/>
        <v>354.61114497631422</v>
      </c>
      <c r="U15" s="31">
        <f>T15/(1+Real_Discount_Rate)^(Calculations!M15-'Assumed Values'!$C$5)</f>
        <v>168.47320049700102</v>
      </c>
    </row>
    <row r="16" spans="1:21" ht="15.6">
      <c r="A16" s="39" t="s">
        <v>116</v>
      </c>
      <c r="B16" s="118">
        <f>(B14/B13)^(1/(2045-2025))-1</f>
        <v>1.4565865099311681E-2</v>
      </c>
      <c r="D16" s="121" t="s">
        <v>117</v>
      </c>
      <c r="E16" s="57"/>
      <c r="L16" s="106"/>
      <c r="M16" s="107">
        <f t="shared" si="1"/>
        <v>2030</v>
      </c>
      <c r="N16" s="112">
        <f t="shared" si="6"/>
        <v>97207.7719794765</v>
      </c>
      <c r="O16" s="113">
        <f t="shared" si="7"/>
        <v>1.4565865099311681E-2</v>
      </c>
      <c r="P16" s="114">
        <f t="shared" si="8"/>
        <v>0.43045242703776027</v>
      </c>
      <c r="Q16" s="115">
        <f t="shared" si="4"/>
        <v>1</v>
      </c>
      <c r="R16" s="30">
        <f>IF(M16=Year_Open_to_Traffic?,Calculations!$J$5,Calculations!R15+(Calculations!R15*Calculations!O16*Q16))</f>
        <v>359776.36307675164</v>
      </c>
      <c r="S16" s="45">
        <f t="shared" si="0"/>
        <v>1</v>
      </c>
      <c r="T16" s="30">
        <f t="shared" si="5"/>
        <v>359.77636307675164</v>
      </c>
      <c r="U16" s="31">
        <f>T16/(1+Real_Discount_Rate)^(Calculations!M16-'Assumed Values'!$C$5)</f>
        <v>159.74500785821462</v>
      </c>
    </row>
    <row r="17" spans="1:21" ht="15.6">
      <c r="A17" s="39" t="s">
        <v>118</v>
      </c>
      <c r="B17" s="118">
        <f>(B14/B12)^(1/(2045-2018))-1</f>
        <v>1.6984660025435971E-2</v>
      </c>
      <c r="D17" s="39" t="s">
        <v>119</v>
      </c>
      <c r="E17" s="122">
        <f>($E$6*Death_Rate)/100000000</f>
        <v>0</v>
      </c>
      <c r="L17" s="106"/>
      <c r="M17" s="11">
        <f t="shared" si="1"/>
        <v>2031</v>
      </c>
      <c r="N17" s="112">
        <f t="shared" si="6"/>
        <v>98623.687272734198</v>
      </c>
      <c r="O17" s="113">
        <f t="shared" si="7"/>
        <v>1.4565865099311681E-2</v>
      </c>
      <c r="P17" s="114">
        <f t="shared" si="8"/>
        <v>0.43672233902166357</v>
      </c>
      <c r="Q17" s="115">
        <f t="shared" si="4"/>
        <v>1</v>
      </c>
      <c r="R17" s="30">
        <f>IF(M17=Year_Open_to_Traffic?,Calculations!$J$5,Calculations!R16+(Calculations!R16*Calculations!O17*Q17))</f>
        <v>365016.81704724859</v>
      </c>
      <c r="S17" s="45">
        <f t="shared" si="0"/>
        <v>1</v>
      </c>
      <c r="T17" s="30">
        <f t="shared" si="5"/>
        <v>365.01681704724859</v>
      </c>
      <c r="U17" s="31">
        <f>T17/(1+Real_Discount_Rate)^(Calculations!M17-'Assumed Values'!$C$5)</f>
        <v>151.46900195604286</v>
      </c>
    </row>
    <row r="18" spans="1:21" ht="15.6">
      <c r="D18" s="39" t="s">
        <v>120</v>
      </c>
      <c r="E18" s="122">
        <f>($E$6*Incap_Injry_Rate)/100000000</f>
        <v>0.17151673482332189</v>
      </c>
      <c r="L18" s="106"/>
      <c r="M18" s="107">
        <f t="shared" si="1"/>
        <v>2032</v>
      </c>
      <c r="N18" s="112">
        <f t="shared" si="6"/>
        <v>100060.22659714555</v>
      </c>
      <c r="O18" s="113">
        <f t="shared" si="7"/>
        <v>1.4565865099311681E-2</v>
      </c>
      <c r="P18" s="114">
        <f t="shared" si="8"/>
        <v>0.44308357769770901</v>
      </c>
      <c r="Q18" s="115">
        <f t="shared" si="4"/>
        <v>1</v>
      </c>
      <c r="R18" s="30">
        <f>IF(M18=Year_Open_to_Traffic?,Calculations!$J$5,Calculations!R17+(Calculations!R17*Calculations!O18*Q18))</f>
        <v>370333.60276333895</v>
      </c>
      <c r="S18" s="45">
        <f t="shared" si="0"/>
        <v>1</v>
      </c>
      <c r="T18" s="30">
        <f t="shared" si="5"/>
        <v>370.33360276333894</v>
      </c>
      <c r="U18" s="31">
        <f>T18/(1+Real_Discount_Rate)^(Calculations!M18-'Assumed Values'!$C$5)</f>
        <v>143.62175607968408</v>
      </c>
    </row>
    <row r="19" spans="1:21" ht="15.6">
      <c r="D19" s="39" t="s">
        <v>121</v>
      </c>
      <c r="E19" s="122">
        <f>($E$6*Nonincap_Injry_Rate)/100000000</f>
        <v>1.1320104498339245</v>
      </c>
      <c r="L19" s="106"/>
      <c r="M19" s="11">
        <f t="shared" si="1"/>
        <v>2033</v>
      </c>
      <c r="N19" s="112">
        <f t="shared" si="6"/>
        <v>101517.69035956613</v>
      </c>
      <c r="O19" s="113">
        <f t="shared" si="7"/>
        <v>1.4565865099311681E-2</v>
      </c>
      <c r="P19" s="114">
        <f t="shared" si="8"/>
        <v>0.44953747331817423</v>
      </c>
      <c r="Q19" s="115">
        <f t="shared" si="4"/>
        <v>1</v>
      </c>
      <c r="R19" s="30">
        <f>IF(M19=Year_Open_to_Traffic?,Calculations!$J$5,Calculations!R18+(Calculations!R18*Calculations!O19*Q19))</f>
        <v>375727.83206293185</v>
      </c>
      <c r="S19" s="45">
        <f t="shared" si="0"/>
        <v>1</v>
      </c>
      <c r="T19" s="30">
        <f t="shared" si="5"/>
        <v>375.72783206293184</v>
      </c>
      <c r="U19" s="31">
        <f>T19/(1+Real_Discount_Rate)^(Calculations!M19-'Assumed Values'!$C$5)</f>
        <v>136.18105720006261</v>
      </c>
    </row>
    <row r="20" spans="1:21" ht="15.6">
      <c r="D20" s="39" t="s">
        <v>122</v>
      </c>
      <c r="E20" s="122">
        <f>($E$6*Poss_Injry_Rate/100000000)</f>
        <v>0.92619036804593835</v>
      </c>
      <c r="L20" s="106"/>
      <c r="M20" s="107">
        <f t="shared" si="1"/>
        <v>2034</v>
      </c>
      <c r="N20" s="112">
        <f t="shared" si="6"/>
        <v>102996.38334253726</v>
      </c>
      <c r="O20" s="113">
        <f t="shared" si="7"/>
        <v>1.4565865099311681E-2</v>
      </c>
      <c r="P20" s="114">
        <f t="shared" si="8"/>
        <v>0.45608537551161216</v>
      </c>
      <c r="Q20" s="115">
        <f t="shared" si="4"/>
        <v>1</v>
      </c>
      <c r="R20" s="30">
        <f>IF(M20=Year_Open_to_Traffic?,Calculations!$J$5,Calculations!R19+(Calculations!R19*Calculations!O20*Q20))</f>
        <v>381200.63297881733</v>
      </c>
      <c r="S20" s="45">
        <f t="shared" si="0"/>
        <v>1</v>
      </c>
      <c r="T20" s="30">
        <f t="shared" si="5"/>
        <v>381.20063297881734</v>
      </c>
      <c r="U20" s="31">
        <f>T20/(1+Real_Discount_Rate)^(Calculations!M20-'Assumed Values'!$C$5)</f>
        <v>129.12584309188821</v>
      </c>
    </row>
    <row r="21" spans="1:21" ht="15.6">
      <c r="D21" s="39" t="s">
        <v>123</v>
      </c>
      <c r="E21" s="122">
        <f>($E$6*Non_Injry_Rate)/100000000</f>
        <v>14.33879903122971</v>
      </c>
      <c r="L21" s="106"/>
      <c r="M21" s="11">
        <f>M20+1</f>
        <v>2035</v>
      </c>
      <c r="N21" s="112">
        <f t="shared" si="6"/>
        <v>104496.61476802165</v>
      </c>
      <c r="O21" s="113">
        <f t="shared" si="7"/>
        <v>1.4565865099311681E-2</v>
      </c>
      <c r="P21" s="114">
        <f>P20*(1+IFERROR(_2025_2040_V_C_Growth,_2018_2045_V_C_Growth))</f>
        <v>0.46272865356508319</v>
      </c>
      <c r="Q21" s="115">
        <f t="shared" si="4"/>
        <v>1</v>
      </c>
      <c r="R21" s="30">
        <f>IF(M21=Year_Open_to_Traffic?,Calculations!$J$5,Calculations!R20+(Calculations!R20*Calculations!O21*Q21))</f>
        <v>386753.14997455903</v>
      </c>
      <c r="S21" s="45">
        <f t="shared" si="0"/>
        <v>1</v>
      </c>
      <c r="T21" s="30">
        <f t="shared" si="5"/>
        <v>386.75314997455905</v>
      </c>
      <c r="U21" s="31">
        <f>T21/(1+Real_Discount_Rate)^(Calculations!M21-'Assumed Values'!$C$5)</f>
        <v>122.43614271327061</v>
      </c>
    </row>
    <row r="22" spans="1:21" ht="15.6">
      <c r="D22" s="39" t="s">
        <v>124</v>
      </c>
      <c r="E22" s="122">
        <f>($E$6*Unkn_Injry_Rate)/100000000</f>
        <v>0.34303346964664377</v>
      </c>
      <c r="L22" s="106"/>
      <c r="M22" s="107">
        <f>M21+1</f>
        <v>2036</v>
      </c>
      <c r="N22" s="112">
        <f t="shared" si="6"/>
        <v>106018.6983620674</v>
      </c>
      <c r="O22" s="113">
        <f t="shared" si="7"/>
        <v>1.4565865099311681E-2</v>
      </c>
      <c r="P22" s="114">
        <f t="shared" si="8"/>
        <v>0.46946869671049835</v>
      </c>
      <c r="Q22" s="115">
        <f t="shared" si="4"/>
        <v>1</v>
      </c>
      <c r="R22" s="30">
        <f>IF(M22=Year_Open_to_Traffic?,Calculations!$J$5,Calculations!R21+(Calculations!R21*Calculations!O22*Q22))</f>
        <v>392386.54418382229</v>
      </c>
      <c r="S22" s="45">
        <f t="shared" si="0"/>
        <v>1</v>
      </c>
      <c r="T22" s="30">
        <f t="shared" si="5"/>
        <v>392.38654418382231</v>
      </c>
      <c r="U22" s="31">
        <f>T22/(1+Real_Discount_Rate)^(Calculations!M22-'Assumed Values'!$C$5)</f>
        <v>116.09301967412352</v>
      </c>
    </row>
    <row r="23" spans="1:21" ht="15.6">
      <c r="L23" s="106"/>
      <c r="M23" s="11">
        <f t="shared" si="1"/>
        <v>2037</v>
      </c>
      <c r="N23" s="112">
        <f t="shared" si="6"/>
        <v>107562.95242041389</v>
      </c>
      <c r="O23" s="113">
        <f t="shared" si="7"/>
        <v>1.4565865099311681E-2</v>
      </c>
      <c r="P23" s="114">
        <f t="shared" si="8"/>
        <v>0.47630691441513312</v>
      </c>
      <c r="Q23" s="115">
        <f t="shared" si="4"/>
        <v>1</v>
      </c>
      <c r="R23" s="30">
        <f>IF(M23=Year_Open_to_Traffic?,Calculations!$J$5,Calculations!R22+(Calculations!R22*Calculations!O23*Q23))</f>
        <v>398101.99365318893</v>
      </c>
      <c r="S23" s="45">
        <f t="shared" si="0"/>
        <v>1</v>
      </c>
      <c r="T23" s="30">
        <f t="shared" si="5"/>
        <v>398.10199365318891</v>
      </c>
      <c r="U23" s="31">
        <f>T23/(1+Real_Discount_Rate)^(Calculations!M23-'Assumed Values'!$C$5)</f>
        <v>110.07851863333507</v>
      </c>
    </row>
    <row r="24" spans="1:21" ht="15.6">
      <c r="L24" s="106"/>
      <c r="M24" s="107">
        <f t="shared" si="1"/>
        <v>2038</v>
      </c>
      <c r="N24" s="112">
        <f t="shared" si="6"/>
        <v>109129.69987505331</v>
      </c>
      <c r="O24" s="113">
        <f t="shared" si="7"/>
        <v>1.4565865099311681E-2</v>
      </c>
      <c r="P24" s="114">
        <f t="shared" si="8"/>
        <v>0.48324473667637335</v>
      </c>
      <c r="Q24" s="115">
        <f t="shared" si="4"/>
        <v>1</v>
      </c>
      <c r="R24" s="30">
        <f>IF(M24=Year_Open_to_Traffic?,Calculations!$J$5,Calculations!R23+(Calculations!R23*Calculations!O24*Q24))</f>
        <v>403900.69358850829</v>
      </c>
      <c r="S24" s="45">
        <f t="shared" si="0"/>
        <v>1</v>
      </c>
      <c r="T24" s="30">
        <f t="shared" si="5"/>
        <v>403.90069358850832</v>
      </c>
      <c r="U24" s="31">
        <f>T24/(1+Real_Discount_Rate)^(Calculations!M24-'Assumed Values'!$C$5)</f>
        <v>104.37561447297225</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110719.2683617617</v>
      </c>
      <c r="O25" s="113">
        <f t="shared" si="7"/>
        <v>1.4565865099311681E-2</v>
      </c>
      <c r="P25" s="114">
        <f t="shared" si="8"/>
        <v>0.49028361432075379</v>
      </c>
      <c r="Q25" s="115">
        <f t="shared" si="4"/>
        <v>1</v>
      </c>
      <c r="R25" s="30">
        <f>IF(M25=Year_Open_to_Traffic?,Calculations!$J$5,Calculations!R24+(Calculations!R24*Calculations!O25*Q25))</f>
        <v>409783.85660483694</v>
      </c>
      <c r="S25" s="45">
        <f t="shared" si="0"/>
        <v>1</v>
      </c>
      <c r="T25" s="30">
        <f t="shared" si="5"/>
        <v>409.78385660483696</v>
      </c>
      <c r="U25" s="31">
        <f>T25/(1+Real_Discount_Rate)^(Calculations!M25-'Assumed Values'!$C$5)</f>
        <v>98.968164105647972</v>
      </c>
    </row>
    <row r="26" spans="1:21" ht="15.6">
      <c r="A26" s="135"/>
      <c r="B26" s="135"/>
      <c r="D26" s="123">
        <f>Calculations!E17</f>
        <v>0</v>
      </c>
      <c r="E26" s="123">
        <f>Calculations!E18</f>
        <v>0.17151673482332189</v>
      </c>
      <c r="F26" s="123">
        <f>Calculations!E19</f>
        <v>1.1320104498339245</v>
      </c>
      <c r="G26" s="123">
        <f>Calculations!E20</f>
        <v>0.92619036804593835</v>
      </c>
      <c r="H26" s="123">
        <f>Calculations!E21</f>
        <v>14.33879903122971</v>
      </c>
      <c r="I26" s="123">
        <f>Calculations!E22</f>
        <v>0.34303346964664377</v>
      </c>
      <c r="J26" s="136"/>
      <c r="L26" s="106"/>
      <c r="M26" s="107">
        <f t="shared" si="1"/>
        <v>2040</v>
      </c>
      <c r="N26" s="112">
        <f t="shared" si="6"/>
        <v>112331.99028861361</v>
      </c>
      <c r="O26" s="113">
        <f t="shared" si="7"/>
        <v>1.4565865099311681E-2</v>
      </c>
      <c r="P26" s="114">
        <f t="shared" si="8"/>
        <v>0.49742501930735283</v>
      </c>
      <c r="Q26" s="115">
        <f t="shared" si="4"/>
        <v>1</v>
      </c>
      <c r="R26" s="30">
        <f>IF(M26=Year_Open_to_Traffic?,Calculations!$J$5,Calculations!R25+(Calculations!R25*Calculations!O26*Q26))</f>
        <v>415752.7129800187</v>
      </c>
      <c r="S26" s="45">
        <f t="shared" si="0"/>
        <v>1</v>
      </c>
      <c r="T26" s="30">
        <f t="shared" si="5"/>
        <v>415.75271298001871</v>
      </c>
      <c r="U26" s="31">
        <f>T26/(1+Real_Discount_Rate)^(Calculations!M26-'Assumed Values'!$C$5)</f>
        <v>93.840860778633072</v>
      </c>
    </row>
    <row r="27" spans="1:21" ht="15.6">
      <c r="A27" s="38" t="s">
        <v>127</v>
      </c>
      <c r="B27" s="39" t="s">
        <v>128</v>
      </c>
      <c r="D27" s="124">
        <f>D$26*'Value of Statistical Life'!D17*Appropriate_Crash_Reduction_Factor</f>
        <v>0</v>
      </c>
      <c r="E27" s="124">
        <f>E$26*'Value of Statistical Life'!E17*Appropriate_Crash_Reduction_Factor</f>
        <v>4.7160241407020586E-3</v>
      </c>
      <c r="F27" s="124">
        <f>F$26*'Value of Statistical Life'!F17*Appropriate_Crash_Reduction_Factor</f>
        <v>7.5591129798110154E-2</v>
      </c>
      <c r="G27" s="124">
        <f>G$26*'Value of Statistical Life'!G17*Appropriate_Crash_Reduction_Factor</f>
        <v>0.17365698924714126</v>
      </c>
      <c r="H27" s="124">
        <f>H$26*'Value of Statistical Life'!H17*Appropriate_Crash_Reduction_Factor</f>
        <v>10.614611436446481</v>
      </c>
      <c r="I27" s="124">
        <f>I$26*'Value of Statistical Life'!I17*Appropriate_Crash_Reduction_Factor</f>
        <v>0.11985863856229451</v>
      </c>
      <c r="J27" s="124">
        <f t="shared" ref="J27:J33" si="9">SUM(D27:I27)</f>
        <v>10.98843421819473</v>
      </c>
      <c r="K27" s="69"/>
      <c r="L27" s="106"/>
      <c r="M27" s="11">
        <f t="shared" si="1"/>
        <v>2041</v>
      </c>
      <c r="N27" s="112">
        <f t="shared" si="6"/>
        <v>113968.20290549475</v>
      </c>
      <c r="O27" s="113">
        <f t="shared" si="7"/>
        <v>1.4565865099311681E-2</v>
      </c>
      <c r="P27" s="114">
        <f t="shared" si="8"/>
        <v>0.50467044503560621</v>
      </c>
      <c r="Q27" s="115">
        <f t="shared" si="4"/>
        <v>1</v>
      </c>
      <c r="R27" s="30">
        <f>IF(M27=Year_Open_to_Traffic?,Calculations!$J$5,Calculations!R26+(Calculations!R26*Calculations!O27*Q27))</f>
        <v>421808.51091195852</v>
      </c>
      <c r="S27" s="45">
        <f t="shared" si="0"/>
        <v>1</v>
      </c>
      <c r="T27" s="30">
        <f t="shared" si="5"/>
        <v>421.80851091195854</v>
      </c>
      <c r="U27" s="31">
        <f>T27/(1+Real_Discount_Rate)^(Calculations!M27-'Assumed Values'!$C$5)</f>
        <v>88.979190745362544</v>
      </c>
    </row>
    <row r="28" spans="1:21" ht="15.6">
      <c r="A28" s="38" t="s">
        <v>129</v>
      </c>
      <c r="B28" s="39" t="s">
        <v>130</v>
      </c>
      <c r="D28" s="124">
        <f>D$26*'Value of Statistical Life'!D18*Appropriate_Crash_Reduction_Factor</f>
        <v>0</v>
      </c>
      <c r="E28" s="124">
        <f>E$26*'Value of Statistical Life'!E18*Appropriate_Crash_Reduction_Factor</f>
        <v>7.6083451433747007E-2</v>
      </c>
      <c r="F28" s="124">
        <f>F$26*'Value of Statistical Life'!F18*Appropriate_Crash_Reduction_Factor</f>
        <v>0.69589663197270601</v>
      </c>
      <c r="G28" s="124">
        <f>G$26*'Value of Statistical Life'!G18*Appropriate_Crash_Reduction_Factor</f>
        <v>0.5108569689223621</v>
      </c>
      <c r="H28" s="124">
        <f>H$26*'Value of Statistical Life'!H18*Appropriate_Crash_Reduction_Factor</f>
        <v>0.83245331655707211</v>
      </c>
      <c r="I28" s="124">
        <f>I$26*'Value of Statistical Life'!I18*Appropriate_Crash_Reduction_Factor</f>
        <v>0.11454299191665013</v>
      </c>
      <c r="J28" s="124">
        <f t="shared" si="9"/>
        <v>2.2298333608025374</v>
      </c>
      <c r="K28" s="69"/>
      <c r="L28" s="106"/>
      <c r="M28" s="107">
        <f t="shared" si="1"/>
        <v>2042</v>
      </c>
      <c r="N28" s="112">
        <f t="shared" si="6"/>
        <v>115628.24837462716</v>
      </c>
      <c r="O28" s="113">
        <f t="shared" si="7"/>
        <v>1.4565865099311681E-2</v>
      </c>
      <c r="P28" s="114">
        <f t="shared" si="8"/>
        <v>0.51202140665760443</v>
      </c>
      <c r="Q28" s="115">
        <f t="shared" si="4"/>
        <v>1</v>
      </c>
      <c r="R28" s="30">
        <f>IF(M28=Year_Open_to_Traffic?,Calculations!$J$5,Calculations!R27+(Calculations!R27*Calculations!O28*Q28))</f>
        <v>427952.51677964366</v>
      </c>
      <c r="S28" s="45">
        <f t="shared" si="0"/>
        <v>1</v>
      </c>
      <c r="T28" s="30">
        <f t="shared" si="5"/>
        <v>427.95251677964364</v>
      </c>
      <c r="U28" s="31">
        <f>T28/(1+Real_Discount_Rate)^(Calculations!M28-'Assumed Values'!$C$5)</f>
        <v>84.369392181687303</v>
      </c>
    </row>
    <row r="29" spans="1:21" ht="15.6">
      <c r="A29" s="38" t="s">
        <v>131</v>
      </c>
      <c r="B29" s="39" t="s">
        <v>132</v>
      </c>
      <c r="D29" s="124">
        <f>D$26*'Value of Statistical Life'!D19*Appropriate_Crash_Reduction_Factor</f>
        <v>0</v>
      </c>
      <c r="E29" s="124">
        <f>E$26*'Value of Statistical Life'!E19*Appropriate_Crash_Reduction_Factor</f>
        <v>2.868857513348811E-2</v>
      </c>
      <c r="F29" s="124">
        <f>F$26*'Value of Statistical Life'!F19*Appropriate_Crash_Reduction_Factor</f>
        <v>9.8693199058320871E-2</v>
      </c>
      <c r="G29" s="124">
        <f>G$26*'Value of Statistical Life'!G19*Appropriate_Crash_Reduction_Factor</f>
        <v>4.7354261137452731E-2</v>
      </c>
      <c r="H29" s="124">
        <f>H$26*'Value of Statistical Life'!H19*Appropriate_Crash_Reduction_Factor</f>
        <v>2.2712657665467862E-2</v>
      </c>
      <c r="I29" s="124">
        <f>I$26*'Value of Statistical Life'!I19*Appropriate_Crash_Reduction_Factor</f>
        <v>2.4347143541640189E-2</v>
      </c>
      <c r="J29" s="124">
        <f t="shared" si="9"/>
        <v>0.22179583653636978</v>
      </c>
      <c r="K29" s="69"/>
      <c r="L29" s="106"/>
      <c r="M29" s="11">
        <f t="shared" si="1"/>
        <v>2043</v>
      </c>
      <c r="N29" s="112">
        <f t="shared" si="6"/>
        <v>117312.47384212169</v>
      </c>
      <c r="O29" s="113">
        <f t="shared" si="7"/>
        <v>1.4565865099311681E-2</v>
      </c>
      <c r="P29" s="114">
        <f t="shared" si="8"/>
        <v>0.51947944139493896</v>
      </c>
      <c r="Q29" s="115">
        <f t="shared" si="4"/>
        <v>1</v>
      </c>
      <c r="R29" s="30">
        <f>IF(M29=Year_Open_to_Traffic?,Calculations!$J$5,Calculations!R28+(Calculations!R28*Calculations!O29*Q29))</f>
        <v>434186.01540796686</v>
      </c>
      <c r="S29" s="45">
        <f t="shared" si="0"/>
        <v>1</v>
      </c>
      <c r="T29" s="30">
        <f t="shared" si="5"/>
        <v>434.18601540796686</v>
      </c>
      <c r="U29" s="31">
        <f>T29/(1+Real_Discount_Rate)^(Calculations!M29-'Assumed Values'!$C$5)</f>
        <v>79.998416230576339</v>
      </c>
    </row>
    <row r="30" spans="1:21" ht="15.6">
      <c r="A30" s="38" t="s">
        <v>133</v>
      </c>
      <c r="B30" s="39" t="s">
        <v>134</v>
      </c>
      <c r="D30" s="124">
        <f>D$26*'Value of Statistical Life'!D20*Appropriate_Crash_Reduction_Factor</f>
        <v>0</v>
      </c>
      <c r="E30" s="124">
        <f>E$26*'Value of Statistical Life'!E20*Appropriate_Crash_Reduction_Factor</f>
        <v>1.9809496805154383E-2</v>
      </c>
      <c r="F30" s="124">
        <f>F$26*'Value of Statistical Life'!F20*Appropriate_Crash_Reduction_Factor</f>
        <v>2.8897962763360426E-2</v>
      </c>
      <c r="G30" s="124">
        <f>G$26*'Value of Statistical Life'!G20*Appropriate_Crash_Reduction_Factor</f>
        <v>7.9355990734175999E-3</v>
      </c>
      <c r="H30" s="124">
        <f>H$26*'Value of Statistical Life'!H20*Appropriate_Crash_Reduction_Factor</f>
        <v>9.1768313799870163E-4</v>
      </c>
      <c r="I30" s="124">
        <f>I$26*'Value of Statistical Life'!I20*Appropriate_Crash_Reduction_Factor</f>
        <v>1.3219137786303065E-2</v>
      </c>
      <c r="J30" s="124">
        <f t="shared" si="9"/>
        <v>7.0779879566234175E-2</v>
      </c>
      <c r="K30" s="69"/>
      <c r="L30" s="106"/>
      <c r="M30" s="11">
        <f t="shared" si="1"/>
        <v>2044</v>
      </c>
      <c r="N30" s="112">
        <f t="shared" si="6"/>
        <v>119021.23151057257</v>
      </c>
      <c r="O30" s="113">
        <f t="shared" si="7"/>
        <v>1.4565865099311681E-2</v>
      </c>
      <c r="P30" s="114">
        <f t="shared" si="8"/>
        <v>0.52704610886016345</v>
      </c>
      <c r="Q30" s="115">
        <f t="shared" si="4"/>
        <v>1</v>
      </c>
      <c r="R30" s="30">
        <f>IF(M30=Year_Open_to_Traffic?,Calculations!$J$5,Calculations!R29+(Calculations!R29*Calculations!O30*Q30))</f>
        <v>440510.31033640698</v>
      </c>
      <c r="S30" s="45">
        <f t="shared" si="0"/>
        <v>1</v>
      </c>
      <c r="T30" s="30">
        <f t="shared" si="5"/>
        <v>440.51031033640697</v>
      </c>
      <c r="U30" s="31">
        <f>T30/(1+Real_Discount_Rate)^(Calculations!M30-'Assumed Values'!$C$5)</f>
        <v>75.853890064999533</v>
      </c>
    </row>
    <row r="31" spans="1:21" ht="15.6">
      <c r="A31" s="38" t="s">
        <v>135</v>
      </c>
      <c r="B31" s="39" t="s">
        <v>136</v>
      </c>
      <c r="D31" s="124">
        <f>D$26*'Value of Statistical Life'!D21*Appropriate_Crash_Reduction_Factor</f>
        <v>0</v>
      </c>
      <c r="E31" s="124">
        <f>E$26*'Value of Statistical Life'!E21*Appropriate_Crash_Reduction_Factor</f>
        <v>5.4693256400460888E-3</v>
      </c>
      <c r="F31" s="124">
        <f>F$26*'Value of Statistical Life'!F21*Appropriate_Crash_Reduction_Factor</f>
        <v>5.614771831176266E-3</v>
      </c>
      <c r="G31" s="124">
        <f>G$26*'Value of Statistical Life'!G21*Appropriate_Crash_Reduction_Factor</f>
        <v>1.052152258100186E-3</v>
      </c>
      <c r="H31" s="124">
        <f>H$26*'Value of Statistical Life'!H21*Appropriate_Crash_Reduction_Factor</f>
        <v>0</v>
      </c>
      <c r="I31" s="124">
        <f>I$26*'Value of Statistical Life'!I21*Appropriate_Crash_Reduction_Factor</f>
        <v>1.6932132061758338E-3</v>
      </c>
      <c r="J31" s="124">
        <f t="shared" si="9"/>
        <v>1.3829462935498374E-2</v>
      </c>
      <c r="K31" s="69"/>
      <c r="L31" s="106"/>
      <c r="M31" s="11">
        <f t="shared" si="1"/>
        <v>2045</v>
      </c>
      <c r="N31" s="112">
        <f t="shared" si="6"/>
        <v>120754.87871270951</v>
      </c>
      <c r="O31" s="113">
        <f t="shared" si="7"/>
        <v>1.4565865099311681E-2</v>
      </c>
      <c r="P31" s="114">
        <f t="shared" si="8"/>
        <v>0.53472299138293777</v>
      </c>
      <c r="Q31" s="115">
        <f t="shared" si="4"/>
        <v>1</v>
      </c>
      <c r="R31" s="30">
        <f>IF(M31=Year_Open_to_Traffic?,Calculations!$J$5,Calculations!R30+(Calculations!R30*Calculations!O31*Q31))</f>
        <v>446926.72409162304</v>
      </c>
      <c r="S31" s="45">
        <f t="shared" si="0"/>
        <v>1</v>
      </c>
      <c r="T31" s="30">
        <f t="shared" si="5"/>
        <v>446.92672409162304</v>
      </c>
      <c r="U31" s="31">
        <f>T31/(1+Real_Discount_Rate)^(Calculations!M31-'Assumed Values'!$C$5)</f>
        <v>71.924081864433958</v>
      </c>
    </row>
    <row r="32" spans="1:21" ht="15.6">
      <c r="A32" s="38" t="s">
        <v>137</v>
      </c>
      <c r="B32" s="39" t="s">
        <v>138</v>
      </c>
      <c r="D32" s="124">
        <f>D$26*'Value of Statistical Life'!D22*Appropriate_Crash_Reduction_Factor</f>
        <v>0</v>
      </c>
      <c r="E32" s="124">
        <f>E$26*'Value of Statistical Life'!E22*Appropriate_Crash_Reduction_Factor</f>
        <v>2.4465147055198633E-3</v>
      </c>
      <c r="F32" s="124">
        <f>F$26*'Value of Statistical Life'!F22*Appropriate_Crash_Reduction_Factor</f>
        <v>9.1466444346581109E-4</v>
      </c>
      <c r="G32" s="124">
        <f>G$26*'Value of Statistical Life'!G22*Appropriate_Crash_Reduction_Factor</f>
        <v>9.6323798276777586E-5</v>
      </c>
      <c r="H32" s="124">
        <f>H$26*'Value of Statistical Life'!H22*Appropriate_Crash_Reduction_Factor</f>
        <v>3.441311767495131E-4</v>
      </c>
      <c r="I32" s="124">
        <f>I$26*'Value of Statistical Life'!I22*Appropriate_Crash_Reduction_Factor</f>
        <v>7.6565070425130895E-4</v>
      </c>
      <c r="J32" s="124">
        <f t="shared" si="9"/>
        <v>4.5672848282632744E-3</v>
      </c>
      <c r="K32" s="69"/>
      <c r="L32" s="106"/>
      <c r="M32" s="11">
        <f t="shared" si="1"/>
        <v>2046</v>
      </c>
      <c r="N32" s="112">
        <f t="shared" si="6"/>
        <v>122513.77798612259</v>
      </c>
      <c r="O32" s="113">
        <f t="shared" si="7"/>
        <v>1.4565865099311681E-2</v>
      </c>
      <c r="P32" s="114">
        <f t="shared" si="8"/>
        <v>0.54251169434092206</v>
      </c>
      <c r="Q32" s="115">
        <f t="shared" si="4"/>
        <v>1</v>
      </c>
      <c r="R32" s="30">
        <f>IF(M32=Year_Open_to_Traffic?,Calculations!$J$5,Calculations!R31+(Calculations!R31*Calculations!O32*Q32))</f>
        <v>453436.5984640189</v>
      </c>
      <c r="S32" s="45">
        <f t="shared" si="0"/>
        <v>1</v>
      </c>
      <c r="T32" s="30">
        <f t="shared" si="5"/>
        <v>453.43659846401891</v>
      </c>
      <c r="U32" s="31">
        <f>T32/(1+Real_Discount_Rate)^(Calculations!M32-'Assumed Values'!$C$5)</f>
        <v>68.197867605853418</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124298.29714907547</v>
      </c>
      <c r="O33" s="113">
        <f t="shared" si="7"/>
        <v>1.4565865099311681E-2</v>
      </c>
      <c r="P33" s="114">
        <f t="shared" si="8"/>
        <v>0.55041384649549097</v>
      </c>
      <c r="Q33" s="115">
        <f t="shared" si="4"/>
        <v>1</v>
      </c>
      <c r="R33" s="30">
        <f>IF(M33=Year_Open_to_Traffic?,Calculations!$J$5,Calculations!R32+(Calculations!R32*Calculations!O33*Q33))</f>
        <v>460041.29478833656</v>
      </c>
      <c r="S33" s="45">
        <f t="shared" si="0"/>
        <v>1</v>
      </c>
      <c r="T33" s="30">
        <f t="shared" si="5"/>
        <v>460.04129478833653</v>
      </c>
      <c r="U33" s="31">
        <f>T33/(1+Real_Discount_Rate)^(Calculations!M33-'Assumed Values'!$C$5)</f>
        <v>64.66469957519719</v>
      </c>
    </row>
    <row r="34" spans="1:21" ht="15.6">
      <c r="J34" s="125"/>
      <c r="L34" s="106"/>
      <c r="M34" s="11">
        <f t="shared" si="1"/>
        <v>2048</v>
      </c>
      <c r="N34" s="112">
        <f t="shared" si="6"/>
        <v>126108.80937742307</v>
      </c>
      <c r="O34" s="113">
        <f t="shared" si="7"/>
        <v>1.4565865099311681E-2</v>
      </c>
      <c r="P34" s="114">
        <f t="shared" si="8"/>
        <v>0.55843110033233756</v>
      </c>
      <c r="Q34" s="115">
        <f t="shared" si="4"/>
        <v>1</v>
      </c>
      <c r="R34" s="30">
        <f>IF(M34=Year_Open_to_Traffic?,Calculations!$J$5,Calculations!R33+(Calculations!R33*Calculations!O34*Q34))</f>
        <v>466742.19422833616</v>
      </c>
      <c r="S34" s="45">
        <f t="shared" si="0"/>
        <v>1</v>
      </c>
      <c r="T34" s="30">
        <f t="shared" si="5"/>
        <v>466.74219422833613</v>
      </c>
      <c r="U34" s="31">
        <f>T34/(1+Real_Discount_Rate)^(Calculations!M34-'Assumed Values'!$C$5)</f>
        <v>61.314576510184146</v>
      </c>
    </row>
    <row r="35" spans="1:21" ht="15.6">
      <c r="G35" s="41"/>
      <c r="H35" s="41"/>
      <c r="L35" s="106"/>
      <c r="M35" s="11">
        <f t="shared" si="1"/>
        <v>2049</v>
      </c>
      <c r="N35" s="112">
        <f t="shared" si="6"/>
        <v>127945.69328264942</v>
      </c>
      <c r="O35" s="113">
        <f t="shared" si="7"/>
        <v>1.4565865099311681E-2</v>
      </c>
      <c r="P35" s="114">
        <f t="shared" si="8"/>
        <v>0.56656513240703854</v>
      </c>
      <c r="Q35" s="115">
        <f t="shared" si="4"/>
        <v>1</v>
      </c>
      <c r="R35" s="30">
        <f>IF(M35=Year_Open_to_Traffic?,Calculations!$J$5,Calculations!R34+(Calculations!R34*Calculations!O35*Q35))</f>
        <v>473540.69806562283</v>
      </c>
      <c r="S35" s="45">
        <f t="shared" si="0"/>
        <v>1</v>
      </c>
      <c r="T35" s="30">
        <f t="shared" si="5"/>
        <v>473.54069806562285</v>
      </c>
      <c r="U35" s="31">
        <f>T35/(1+Real_Discount_Rate)^(Calculations!M35-'Assumed Values'!$C$5)</f>
        <v>58.138015289955987</v>
      </c>
    </row>
    <row r="36" spans="1:21" ht="15.6">
      <c r="G36" s="41"/>
      <c r="H36" s="41"/>
      <c r="L36" s="106"/>
      <c r="M36" s="11">
        <f t="shared" si="1"/>
        <v>2050</v>
      </c>
      <c r="N36" s="112">
        <f t="shared" si="6"/>
        <v>129809.33299104239</v>
      </c>
      <c r="O36" s="113">
        <f t="shared" si="7"/>
        <v>1.4565865099311681E-2</v>
      </c>
      <c r="P36" s="114">
        <f t="shared" si="8"/>
        <v>0.57481764369565314</v>
      </c>
      <c r="Q36" s="115">
        <f t="shared" si="4"/>
        <v>1</v>
      </c>
      <c r="R36" s="30">
        <f>IF(M36=Year_Open_to_Traffic?,Calculations!$J$5,Calculations!R35+(Calculations!R35*Calculations!O36*Q36))</f>
        <v>480438.22799268056</v>
      </c>
      <c r="S36" s="45">
        <f t="shared" si="0"/>
        <v>1</v>
      </c>
      <c r="T36" s="30">
        <f t="shared" si="5"/>
        <v>480.43822799268054</v>
      </c>
      <c r="U36" s="31">
        <f>T36/(1+Real_Discount_Rate)^(Calculations!M36-'Assumed Values'!$C$5)</f>
        <v>55.12602409141234</v>
      </c>
    </row>
    <row r="37" spans="1:21">
      <c r="M37" s="39"/>
      <c r="N37" s="39"/>
      <c r="O37" s="118"/>
      <c r="P37" s="120"/>
      <c r="Q37" s="39"/>
      <c r="R37" s="39"/>
      <c r="S37" s="39"/>
      <c r="T37" s="39"/>
      <c r="U37" s="31">
        <f>SUM(U4:U36)</f>
        <v>2608.0389505393609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40CC04-0AF3-46B6-901D-CCA926164ABB}"/>
</file>

<file path=customXml/itemProps2.xml><?xml version="1.0" encoding="utf-8"?>
<ds:datastoreItem xmlns:ds="http://schemas.openxmlformats.org/officeDocument/2006/customXml" ds:itemID="{41300835-DB87-4EB5-BABE-9AA61CA00E27}"/>
</file>

<file path=customXml/itemProps3.xml><?xml version="1.0" encoding="utf-8"?>
<ds:datastoreItem xmlns:ds="http://schemas.openxmlformats.org/officeDocument/2006/customXml" ds:itemID="{10F9E099-9D99-4324-AF5A-2B8B694F906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