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P:\Infrastructure Planning Branch\Infrastructure Planning &amp; Prioritization\HGAC Coordination\2018 TIP\Lower Westheimer (N-2013T-C01, N-100034)\"/>
    </mc:Choice>
  </mc:AlternateContent>
  <xr:revisionPtr revIDLastSave="0" documentId="10_ncr:100000_{63B210CE-55C3-467E-8AD4-C7B85FC10AA2}" xr6:coauthVersionLast="31" xr6:coauthVersionMax="31" xr10:uidLastSave="{00000000-0000-0000-0000-000000000000}"/>
  <bookViews>
    <workbookView xWindow="0" yWindow="0" windowWidth="15075" windowHeight="588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3">'Inputs &amp; Outputs'!$A$2:$J$39</definedName>
    <definedName name="_xlnm.Print_Area" localSheetId="1">'ITS Delay Worksheet'!$A$3:$J$33</definedName>
  </definedNames>
  <calcPr calcId="179017"/>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s="1"/>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s="1"/>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<sst xmlns="http://schemas.openxmlformats.org/spreadsheetml/2006/main" count="262" uniqueCount="130">
  <si>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</si>
  <si>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</si>
  <si>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</si>
  <si>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</si>
  <si>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</si>
  <si>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</si>
  <si>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</si>
  <si>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</si>
  <si>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</si>
  <si>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</si>
  <si>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</si>
  <si>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</si>
  <si>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</si>
  <si>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</si>
  <si>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</si>
  <si>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</si>
  <si>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</si>
  <si>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</si>
  <si>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</si>
  <si>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</si>
  <si>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</si>
  <si>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</si>
  <si>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</si>
  <si>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</si>
  <si>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</si>
  <si>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</si>
  <si>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</si>
  <si>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</si>
  <si>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</si>
  <si>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</si>
  <si>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</si>
  <si>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</si>
  <si>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</si>
  <si>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</si>
  <si>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</si>
  <si>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</si>
  <si>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</si>
  <si>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</si>
  <si>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</si>
  <si>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</si>
  <si>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</si>
  <si>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</si>
  <si>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</si>
  <si>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</si>
  <si>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</si>
  <si>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</si>
  <si>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</si>
  <si>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</si>
  <si>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</si>
  <si>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</si>
  <si>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</si>
  <si>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</si>
  <si>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</si>
  <si>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</si>
  <si>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</si>
  <si>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</si>
  <si>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</si>
  <si>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</si>
  <si>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</si>
  <si>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</si>
  <si>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</si>
  <si>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</si>
  <si>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</si>
  <si>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</si>
  <si>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</si>
  <si>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</si>
  <si>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</si>
  <si>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</si>
  <si>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</si>
  <si>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</si>
  <si>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</si>
  <si>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</si>
  <si>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</si>
  <si>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</si>
  <si>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</si>
  <si>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</si>
  <si>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</si>
  <si>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</si>
  <si>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</si>
  <si>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</si>
  <si>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</si>
  <si>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</si>
  <si>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</si>
  <si>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</si>
  <si>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</si>
  <si>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</si>
  <si>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</si>
  <si>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</si>
  <si>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</si>
  <si>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</si>
  <si>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</si>
  <si>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</si>
  <si>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</si>
  <si>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</si>
  <si>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</si>
  <si>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</si>
  <si>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</si>
  <si>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</si>
  <si>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</si>
  <si>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</si>
  <si>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</si>
  <si>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</si>
  <si>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</si>
  <si>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</si>
  <si>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</si>
  <si>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</si>
  <si>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</si>
  <si>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</si>
  <si>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</si>
  <si>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</si>
  <si>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</si>
  <si>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</si>
  <si>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</si>
  <si>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</si>
  <si>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</si>
  <si>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</si>
  <si>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</si>
  <si>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</si>
  <si>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</si>
  <si>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</si>
  <si>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</si>
  <si>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</si>
  <si>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</si>
  <si>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</si>
  <si>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</si>
  <si>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</si>
  <si>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</si>
  <si>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</si>
  <si>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</si>
  <si>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Lower Westheimer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</si>
</sst>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9" zoomScale="98" zoomScaleNormal="98"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25" zoomScale="86" zoomScaleNormal="86" workbookViewId="0">
      <selection activeCell="N33" sqref="N33"/>
    </sheetView>
  </sheetViews>
  <sheetFormatPr defaultColWidth="9.140625"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c r="D7" s="98"/>
      <c r="E7" s="99" t="s">
        <v>127</v>
      </c>
    </row>
    <row r="8" spans="1:5" x14ac:dyDescent="0.25">
      <c r="A8" s="6" t="s">
        <v>52</v>
      </c>
      <c r="B8" s="6"/>
      <c r="D8" s="103"/>
      <c r="E8" s="99" t="s">
        <v>92</v>
      </c>
    </row>
    <row r="9" spans="1:5" x14ac:dyDescent="0.25">
      <c r="A9" s="6" t="s">
        <v>64</v>
      </c>
      <c r="B9" s="104" t="s">
        <v>71</v>
      </c>
      <c r="D9" s="105"/>
      <c r="E9" s="99" t="s">
        <v>93</v>
      </c>
    </row>
    <row r="11" spans="1:5" x14ac:dyDescent="0.25">
      <c r="A11" s="63"/>
      <c r="B11" s="63"/>
    </row>
    <row r="12" spans="1:5" x14ac:dyDescent="0.25">
      <c r="A12" s="102" t="s">
        <v>85</v>
      </c>
      <c r="B12" s="63"/>
    </row>
    <row r="13" spans="1:5" x14ac:dyDescent="0.25">
      <c r="A13" s="6" t="s">
        <v>56</v>
      </c>
      <c r="B13" s="45">
        <v>2025</v>
      </c>
    </row>
    <row r="14" spans="1:5" x14ac:dyDescent="0.25">
      <c r="A14" s="6" t="s">
        <v>86</v>
      </c>
      <c r="B14" s="6" t="s">
        <v>121</v>
      </c>
    </row>
    <row r="15" spans="1:5" x14ac:dyDescent="0.25">
      <c r="A15" s="106" t="s">
        <v>87</v>
      </c>
      <c r="B15" s="57" t="s">
        <v>76</v>
      </c>
    </row>
    <row r="16" spans="1:5" x14ac:dyDescent="0.25">
      <c r="A16" s="106" t="s">
        <v>88</v>
      </c>
      <c r="B16" s="57">
        <v>3.6</v>
      </c>
    </row>
    <row r="17" spans="1:3" x14ac:dyDescent="0.25">
      <c r="A17" s="107" t="s">
        <v>95</v>
      </c>
      <c r="B17" s="57">
        <v>14</v>
      </c>
    </row>
    <row r="18" spans="1:3" x14ac:dyDescent="0.25">
      <c r="A18" s="107" t="s">
        <v>96</v>
      </c>
      <c r="B18" s="57">
        <v>35</v>
      </c>
    </row>
    <row r="19" spans="1:3" x14ac:dyDescent="0.25">
      <c r="A19" s="96" t="s">
        <v>97</v>
      </c>
      <c r="B19" s="97">
        <f>VLOOKUP(B14,'Service Life'!C6:D8,2,FALSE)</f>
        <v>20</v>
      </c>
    </row>
    <row r="21" spans="1:3" x14ac:dyDescent="0.25">
      <c r="A21" s="102" t="s">
        <v>89</v>
      </c>
    </row>
    <row r="22" spans="1:3" ht="20.25" customHeight="1" x14ac:dyDescent="0.25">
      <c r="A22" s="107" t="s">
        <v>90</v>
      </c>
      <c r="B22" s="119">
        <v>24163</v>
      </c>
    </row>
    <row r="23" spans="1:3" ht="30" x14ac:dyDescent="0.25">
      <c r="A23" s="118" t="s">
        <v>101</v>
      </c>
      <c r="B23" s="120">
        <v>28306</v>
      </c>
    </row>
    <row r="24" spans="1:3" ht="30" x14ac:dyDescent="0.25">
      <c r="A24" s="118" t="s">
        <v>102</v>
      </c>
      <c r="B24" s="120">
        <v>32278</v>
      </c>
    </row>
    <row r="27" spans="1:3" ht="18.75" x14ac:dyDescent="0.3">
      <c r="A27" s="100" t="s">
        <v>55</v>
      </c>
      <c r="B27" s="101"/>
    </row>
    <row r="29" spans="1:3" x14ac:dyDescent="0.25">
      <c r="A29" s="108" t="s">
        <v>53</v>
      </c>
    </row>
    <row r="30" spans="1:3" x14ac:dyDescent="0.25">
      <c r="A30" s="105" t="s">
        <v>112</v>
      </c>
      <c r="B30" s="114">
        <f>'Benefit Calculations'!M37</f>
        <v>25894.809818815331</v>
      </c>
    </row>
    <row r="31" spans="1:3" x14ac:dyDescent="0.25">
      <c r="A31" s="105" t="s">
        <v>113</v>
      </c>
      <c r="B31" s="114">
        <f>'Benefit Calculations'!Q37</f>
        <v>2832.531044192101</v>
      </c>
      <c r="C31" s="109"/>
    </row>
    <row r="32" spans="1:3" x14ac:dyDescent="0.25">
      <c r="A32" s="110"/>
      <c r="B32" s="111"/>
      <c r="C32" s="109"/>
    </row>
    <row r="33" spans="1:9" x14ac:dyDescent="0.25">
      <c r="A33" s="108" t="s">
        <v>94</v>
      </c>
      <c r="B33" s="111"/>
      <c r="C33" s="109"/>
    </row>
    <row r="34" spans="1:9" x14ac:dyDescent="0.25">
      <c r="A34" s="105" t="s">
        <v>114</v>
      </c>
      <c r="B34" s="114">
        <f>$B$30+$B$31</f>
        <v>28727.340863007434</v>
      </c>
      <c r="C34" s="109"/>
    </row>
    <row r="35" spans="1:9" x14ac:dyDescent="0.25">
      <c r="I35" s="112"/>
    </row>
    <row r="36" spans="1:9" x14ac:dyDescent="0.25">
      <c r="A36" s="108" t="s">
        <v>107</v>
      </c>
    </row>
    <row r="37" spans="1:9" x14ac:dyDescent="0.25">
      <c r="A37" s="105" t="s">
        <v>116</v>
      </c>
      <c r="B37" s="115">
        <f>'Benefit Calculations'!K37</f>
        <v>9.8845762011607192</v>
      </c>
    </row>
    <row r="38" spans="1:9" x14ac:dyDescent="0.25">
      <c r="A38" s="105" t="s">
        <v>117</v>
      </c>
      <c r="B38" s="115">
        <f>'Benefit Calculations'!O37</f>
        <v>4.2613704535425088</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83"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0000000-0002-0000-0300-000003000000}">
          <x14:formula1>
            <xm:f>'Service Life'!$C$6:$C$8</xm:f>
          </x14:formula1>
          <xm:sqref>B14</xm:sqref>
        </x14:dataValidation>
        <x14:dataValidation type="list" allowBlank="1" showInputMessage="1" showErrorMessage="1" xr:uid="{00000000-0002-0000-0300-000004000000}">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7.6345100998899906E-2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1.9851200282599998E-2</v>
      </c>
      <c r="F4" s="70">
        <v>2018</v>
      </c>
      <c r="G4" s="80">
        <f>'Inputs &amp; Outputs'!B22</f>
        <v>24163</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6.0253500938399998E-2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1.29139004275E-2</v>
      </c>
      <c r="F5" s="70">
        <f t="shared" ref="F5:F36" si="2">F4+1</f>
        <v>2019</v>
      </c>
      <c r="G5" s="80">
        <f>G4+G4*H5</f>
        <v>24715.482280007382</v>
      </c>
      <c r="H5" s="79">
        <f>$C$9</f>
        <v>2.2864804867250843E-2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25280.596959539747</v>
      </c>
      <c r="H6" s="79">
        <f t="shared" ref="H6:H11" si="7">$C$9</f>
        <v>2.2864804867250843E-2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25858.632875947238</v>
      </c>
      <c r="H7" s="79">
        <f t="shared" si="7"/>
        <v>2.2864804867250843E-2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26449.88547078965</v>
      </c>
      <c r="H8" s="79">
        <f t="shared" si="7"/>
        <v>2.2864804867250843E-2</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2.2864804867250843E-2</v>
      </c>
      <c r="F9" s="70">
        <f t="shared" si="2"/>
        <v>2023</v>
      </c>
      <c r="G9" s="80">
        <f t="shared" si="6"/>
        <v>27054.656940840388</v>
      </c>
      <c r="H9" s="79">
        <f t="shared" si="7"/>
        <v>2.2864804867250843E-2</v>
      </c>
      <c r="I9" s="70">
        <f>IF(AND(F9&gt;='Inputs &amp; Outputs'!B$13,F9&lt;'Inputs &amp; Outputs'!B$13+'Inputs &amp; Outputs'!B$19),1,0)</f>
        <v>0</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5.2663019666729927E-3</v>
      </c>
      <c r="F10" s="70">
        <f t="shared" si="2"/>
        <v>2024</v>
      </c>
      <c r="G10" s="80">
        <f t="shared" si="6"/>
        <v>27673.256392543117</v>
      </c>
      <c r="H10" s="79">
        <f t="shared" si="7"/>
        <v>2.2864804867250843E-2</v>
      </c>
      <c r="I10" s="70">
        <f>IF(AND(F10&gt;='Inputs &amp; Outputs'!B$13,F10&lt;'Inputs &amp; Outputs'!B$13+'Inputs &amp; Outputs'!B$19),1,0)</f>
        <v>0</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25">
      <c r="B11" s="16" t="s">
        <v>106</v>
      </c>
      <c r="C11" s="67">
        <f>('Inputs &amp; Outputs'!B24/'Inputs &amp; Outputs'!B22)^(1/(2045-2018))-1</f>
        <v>1.0782282692232359E-2</v>
      </c>
      <c r="F11" s="70">
        <f t="shared" si="2"/>
        <v>2025</v>
      </c>
      <c r="G11" s="80">
        <f>'Inputs &amp; Outputs'!$B$23</f>
        <v>28306</v>
      </c>
      <c r="H11" s="79">
        <f t="shared" si="7"/>
        <v>2.2864804867250843E-2</v>
      </c>
      <c r="I11" s="70">
        <f>IF(AND(F11&gt;='Inputs &amp; Outputs'!B$13,F11&lt;'Inputs &amp; Outputs'!B$13+'Inputs &amp; Outputs'!B$19),1,0)</f>
        <v>1</v>
      </c>
      <c r="J11" s="71">
        <f>I11*'Inputs &amp; Outputs'!B$16*'Benefit Calculations'!G11*('Benefit Calculations'!C$4-'Benefit Calculations'!C$5)</f>
        <v>1639.7597927250376</v>
      </c>
      <c r="K11" s="89">
        <f t="shared" si="3"/>
        <v>0.46995708269602393</v>
      </c>
      <c r="L11" s="72">
        <f>K11*'Assumed Values'!$C$8</f>
        <v>3528.4377768817476</v>
      </c>
      <c r="M11" s="73">
        <f t="shared" si="0"/>
        <v>2197.3337148089486</v>
      </c>
      <c r="N11" s="88">
        <f>I11*'Inputs &amp; Outputs'!B$16*'Benefit Calculations'!G11*('Benefit Calculations'!D$4-'Benefit Calculations'!D$5)</f>
        <v>706.92195491445807</v>
      </c>
      <c r="O11" s="89">
        <f t="shared" si="4"/>
        <v>0.20260466264590105</v>
      </c>
      <c r="P11" s="72">
        <f>ABS(O11*'Assumed Values'!$C$7)</f>
        <v>385.96188234044149</v>
      </c>
      <c r="Q11" s="73">
        <f t="shared" si="1"/>
        <v>240.35766260480085</v>
      </c>
      <c r="T11" s="85">
        <f t="shared" si="5"/>
        <v>0.42633754610850977</v>
      </c>
      <c r="U11" s="86">
        <f>T11*'Assumed Values'!$D$8</f>
        <v>0</v>
      </c>
    </row>
    <row r="12" spans="2:21" x14ac:dyDescent="0.25">
      <c r="B12" s="27"/>
      <c r="C12" s="68"/>
      <c r="F12" s="70">
        <f t="shared" si="2"/>
        <v>2026</v>
      </c>
      <c r="G12" s="80">
        <f t="shared" si="6"/>
        <v>28455.067943468646</v>
      </c>
      <c r="H12" s="79">
        <f>$C$10</f>
        <v>5.2663019666729927E-3</v>
      </c>
      <c r="I12" s="70">
        <f>IF(AND(F12&gt;='Inputs &amp; Outputs'!B$13,F12&lt;'Inputs &amp; Outputs'!B$13+'Inputs &amp; Outputs'!B$19),1,0)</f>
        <v>1</v>
      </c>
      <c r="J12" s="71">
        <f>I12*'Inputs &amp; Outputs'!B$16*'Benefit Calculations'!G12*('Benefit Calculations'!C$4-'Benefit Calculations'!C$5)</f>
        <v>1648.3952629463367</v>
      </c>
      <c r="K12" s="89">
        <f t="shared" si="3"/>
        <v>0.47243201860487788</v>
      </c>
      <c r="L12" s="72">
        <f>K12*'Assumed Values'!$C$8</f>
        <v>3547.0195956854232</v>
      </c>
      <c r="M12" s="73">
        <f t="shared" si="0"/>
        <v>2064.3976987595179</v>
      </c>
      <c r="N12" s="88">
        <f>I12*'Inputs &amp; Outputs'!B$16*'Benefit Calculations'!G12*('Benefit Calculations'!D$4-'Benefit Calculations'!D$5)</f>
        <v>710.64481939590837</v>
      </c>
      <c r="O12" s="89">
        <f t="shared" si="4"/>
        <v>0.20367163997925028</v>
      </c>
      <c r="P12" s="72">
        <f>ABS(O12*'Assumed Values'!$C$7)</f>
        <v>387.99447416047178</v>
      </c>
      <c r="Q12" s="73">
        <f t="shared" si="1"/>
        <v>225.81631648231914</v>
      </c>
      <c r="T12" s="85">
        <f t="shared" si="5"/>
        <v>0.42858276836604753</v>
      </c>
      <c r="U12" s="86">
        <f>T12*'Assumed Values'!$D$8</f>
        <v>0</v>
      </c>
    </row>
    <row r="13" spans="2:21" x14ac:dyDescent="0.25">
      <c r="B13" s="27"/>
      <c r="C13" s="68"/>
      <c r="F13" s="70">
        <f t="shared" si="2"/>
        <v>2027</v>
      </c>
      <c r="G13" s="80">
        <f t="shared" si="6"/>
        <v>28604.920923741149</v>
      </c>
      <c r="H13" s="79">
        <f t="shared" ref="H13:H36" si="8">$C$10</f>
        <v>5.2663019666729927E-3</v>
      </c>
      <c r="I13" s="70">
        <f>IF(AND(F13&gt;='Inputs &amp; Outputs'!B$13,F13&lt;'Inputs &amp; Outputs'!B$13+'Inputs &amp; Outputs'!B$19),1,0)</f>
        <v>1</v>
      </c>
      <c r="J13" s="71">
        <f>I13*'Inputs &amp; Outputs'!B$16*'Benefit Calculations'!G13*('Benefit Calculations'!C$4-'Benefit Calculations'!C$5)</f>
        <v>1657.0762101614453</v>
      </c>
      <c r="K13" s="89">
        <f t="shared" si="3"/>
        <v>0.47491998827357601</v>
      </c>
      <c r="L13" s="72">
        <f>K13*'Assumed Values'!$C$8</f>
        <v>3565.6992719580085</v>
      </c>
      <c r="M13" s="73">
        <f t="shared" si="0"/>
        <v>1939.5041499256913</v>
      </c>
      <c r="N13" s="88">
        <f>I13*'Inputs &amp; Outputs'!B$16*'Benefit Calculations'!G13*('Benefit Calculations'!D$4-'Benefit Calculations'!D$5)</f>
        <v>714.38728960589901</v>
      </c>
      <c r="O13" s="89">
        <f t="shared" si="4"/>
        <v>0.20474423633742853</v>
      </c>
      <c r="P13" s="72">
        <f>ABS(O13*'Assumed Values'!$C$7)</f>
        <v>390.03777022280133</v>
      </c>
      <c r="Q13" s="73">
        <f t="shared" si="1"/>
        <v>212.15470410646429</v>
      </c>
      <c r="T13" s="85">
        <f t="shared" si="5"/>
        <v>0.43083981464197574</v>
      </c>
      <c r="U13" s="86">
        <f>T13*'Assumed Values'!$D$8</f>
        <v>0</v>
      </c>
    </row>
    <row r="14" spans="2:21" x14ac:dyDescent="0.25">
      <c r="B14" s="27"/>
      <c r="C14" s="68"/>
      <c r="F14" s="70">
        <f t="shared" si="2"/>
        <v>2028</v>
      </c>
      <c r="G14" s="80">
        <f t="shared" si="6"/>
        <v>28755.563075058373</v>
      </c>
      <c r="H14" s="79">
        <f t="shared" si="8"/>
        <v>5.2663019666729927E-3</v>
      </c>
      <c r="I14" s="70">
        <f>IF(AND(F14&gt;='Inputs &amp; Outputs'!B$13,F14&lt;'Inputs &amp; Outputs'!B$13+'Inputs &amp; Outputs'!B$19),1,0)</f>
        <v>1</v>
      </c>
      <c r="J14" s="71">
        <f>I14*'Inputs &amp; Outputs'!B$16*'Benefit Calculations'!G14*('Benefit Calculations'!C$4-'Benefit Calculations'!C$5)</f>
        <v>1665.8028738659457</v>
      </c>
      <c r="K14" s="89">
        <f t="shared" si="3"/>
        <v>0.47742106034183346</v>
      </c>
      <c r="L14" s="72">
        <f>K14*'Assumed Values'!$C$8</f>
        <v>3584.4773210464855</v>
      </c>
      <c r="M14" s="73">
        <f t="shared" si="0"/>
        <v>1822.1665088269306</v>
      </c>
      <c r="N14" s="88">
        <f>I14*'Inputs &amp; Outputs'!B$16*'Benefit Calculations'!G14*('Benefit Calculations'!D$4-'Benefit Calculations'!D$5)</f>
        <v>718.14946879411673</v>
      </c>
      <c r="O14" s="89">
        <f t="shared" si="4"/>
        <v>0.20582248131191724</v>
      </c>
      <c r="P14" s="72">
        <f>ABS(O14*'Assumed Values'!$C$7)</f>
        <v>392.09182689920237</v>
      </c>
      <c r="Q14" s="73">
        <f t="shared" si="1"/>
        <v>199.31960265601782</v>
      </c>
      <c r="T14" s="85">
        <f t="shared" si="5"/>
        <v>0.43310874720514592</v>
      </c>
      <c r="U14" s="86">
        <f>T14*'Assumed Values'!$D$8</f>
        <v>0</v>
      </c>
    </row>
    <row r="15" spans="2:21" x14ac:dyDescent="0.25">
      <c r="B15" s="27"/>
      <c r="C15" s="69"/>
      <c r="F15" s="70">
        <f t="shared" si="2"/>
        <v>2029</v>
      </c>
      <c r="G15" s="80">
        <f t="shared" si="6"/>
        <v>28906.998553433343</v>
      </c>
      <c r="H15" s="79">
        <f t="shared" si="8"/>
        <v>5.2663019666729927E-3</v>
      </c>
      <c r="I15" s="70">
        <f>IF(AND(F15&gt;='Inputs &amp; Outputs'!B$13,F15&lt;'Inputs &amp; Outputs'!B$13+'Inputs &amp; Outputs'!B$19),1,0)</f>
        <v>1</v>
      </c>
      <c r="J15" s="71">
        <f>I15*'Inputs &amp; Outputs'!B$16*'Benefit Calculations'!G15*('Benefit Calculations'!C$4-'Benefit Calculations'!C$5)</f>
        <v>1674.5754948166755</v>
      </c>
      <c r="K15" s="89">
        <f t="shared" si="3"/>
        <v>0.47993530381084282</v>
      </c>
      <c r="L15" s="72">
        <f>K15*'Assumed Values'!$C$8</f>
        <v>3603.3542610118079</v>
      </c>
      <c r="M15" s="73">
        <f t="shared" si="0"/>
        <v>1711.9276522392256</v>
      </c>
      <c r="N15" s="88">
        <f>I15*'Inputs &amp; Outputs'!B$16*'Benefit Calculations'!G15*('Benefit Calculations'!D$4-'Benefit Calculations'!D$5)</f>
        <v>721.93146075399238</v>
      </c>
      <c r="O15" s="89">
        <f t="shared" si="4"/>
        <v>0.20690640465003574</v>
      </c>
      <c r="P15" s="72">
        <f>ABS(O15*'Assumed Values'!$C$7)</f>
        <v>394.15670085831806</v>
      </c>
      <c r="Q15" s="73">
        <f t="shared" si="1"/>
        <v>187.26100922568381</v>
      </c>
      <c r="T15" s="85">
        <f t="shared" si="5"/>
        <v>0.4353896286523356</v>
      </c>
      <c r="U15" s="86">
        <f>T15*'Assumed Values'!$D$8</f>
        <v>0</v>
      </c>
    </row>
    <row r="16" spans="2:21" x14ac:dyDescent="0.25">
      <c r="B16" s="27"/>
      <c r="C16" s="69"/>
      <c r="F16" s="70">
        <f t="shared" si="2"/>
        <v>2030</v>
      </c>
      <c r="G16" s="80">
        <f t="shared" si="6"/>
        <v>29059.231536765903</v>
      </c>
      <c r="H16" s="79">
        <f t="shared" si="8"/>
        <v>5.2663019666729927E-3</v>
      </c>
      <c r="I16" s="70">
        <f>IF(AND(F16&gt;='Inputs &amp; Outputs'!B$13,F16&lt;'Inputs &amp; Outputs'!B$13+'Inputs &amp; Outputs'!B$19),1,0)</f>
        <v>1</v>
      </c>
      <c r="J16" s="71">
        <f>I16*'Inputs &amp; Outputs'!B$16*'Benefit Calculations'!G16*('Benefit Calculations'!C$4-'Benefit Calculations'!C$5)</f>
        <v>1683.3943150383709</v>
      </c>
      <c r="K16" s="89">
        <f t="shared" si="3"/>
        <v>0.48246278804517762</v>
      </c>
      <c r="L16" s="72">
        <f>K16*'Assumed Values'!$C$8</f>
        <v>3622.3306126431935</v>
      </c>
      <c r="M16" s="73">
        <f t="shared" si="0"/>
        <v>1608.3581123373974</v>
      </c>
      <c r="N16" s="88">
        <f>I16*'Inputs &amp; Outputs'!B$16*'Benefit Calculations'!G16*('Benefit Calculations'!D$4-'Benefit Calculations'!D$5)</f>
        <v>725.7333698255643</v>
      </c>
      <c r="O16" s="89">
        <f t="shared" si="4"/>
        <v>0.20799603625576149</v>
      </c>
      <c r="P16" s="72">
        <f>ABS(O16*'Assumed Values'!$C$7)</f>
        <v>396.23244906722562</v>
      </c>
      <c r="Q16" s="73">
        <f t="shared" si="1"/>
        <v>175.93194602509371</v>
      </c>
      <c r="T16" s="85">
        <f t="shared" si="5"/>
        <v>0.43768252190997642</v>
      </c>
      <c r="U16" s="86">
        <f>T16*'Assumed Values'!$D$8</f>
        <v>0</v>
      </c>
    </row>
    <row r="17" spans="2:21" x14ac:dyDescent="0.25">
      <c r="B17" s="27"/>
      <c r="C17" s="69"/>
      <c r="F17" s="70">
        <f t="shared" si="2"/>
        <v>2031</v>
      </c>
      <c r="G17" s="80">
        <f t="shared" si="6"/>
        <v>29212.266224957981</v>
      </c>
      <c r="H17" s="79">
        <f t="shared" si="8"/>
        <v>5.2663019666729927E-3</v>
      </c>
      <c r="I17" s="70">
        <f>IF(AND(F17&gt;='Inputs &amp; Outputs'!B$13,F17&lt;'Inputs &amp; Outputs'!B$13+'Inputs &amp; Outputs'!B$19),1,0)</f>
        <v>1</v>
      </c>
      <c r="J17" s="71">
        <f>I17*'Inputs &amp; Outputs'!B$16*'Benefit Calculations'!G17*('Benefit Calculations'!C$4-'Benefit Calculations'!C$5)</f>
        <v>1692.2595778303439</v>
      </c>
      <c r="K17" s="89">
        <f t="shared" si="3"/>
        <v>0.48500358277470657</v>
      </c>
      <c r="L17" s="72">
        <f>K17*'Assumed Values'!$C$8</f>
        <v>3641.4068994724971</v>
      </c>
      <c r="M17" s="73">
        <f t="shared" si="0"/>
        <v>1511.0544035771163</v>
      </c>
      <c r="N17" s="88">
        <f>I17*'Inputs &amp; Outputs'!B$16*'Benefit Calculations'!G17*('Benefit Calculations'!D$4-'Benefit Calculations'!D$5)</f>
        <v>729.5553008983569</v>
      </c>
      <c r="O17" s="89">
        <f t="shared" si="4"/>
        <v>0.20909140619055538</v>
      </c>
      <c r="P17" s="72">
        <f>ABS(O17*'Assumed Values'!$C$7)</f>
        <v>398.31912879300802</v>
      </c>
      <c r="Q17" s="73">
        <f t="shared" si="1"/>
        <v>165.28827736303387</v>
      </c>
      <c r="T17" s="85">
        <f t="shared" si="5"/>
        <v>0.43998749023588946</v>
      </c>
      <c r="U17" s="86">
        <f>T17*'Assumed Values'!$D$8</f>
        <v>0</v>
      </c>
    </row>
    <row r="18" spans="2:21" x14ac:dyDescent="0.25">
      <c r="F18" s="70">
        <f t="shared" si="2"/>
        <v>2032</v>
      </c>
      <c r="G18" s="80">
        <f t="shared" si="6"/>
        <v>29366.106840029453</v>
      </c>
      <c r="H18" s="79">
        <f t="shared" si="8"/>
        <v>5.2663019666729927E-3</v>
      </c>
      <c r="I18" s="70">
        <f>IF(AND(F18&gt;='Inputs &amp; Outputs'!B$13,F18&lt;'Inputs &amp; Outputs'!B$13+'Inputs &amp; Outputs'!B$19),1,0)</f>
        <v>1</v>
      </c>
      <c r="J18" s="71">
        <f>I18*'Inputs &amp; Outputs'!B$16*'Benefit Calculations'!G18*('Benefit Calculations'!C$4-'Benefit Calculations'!C$5)</f>
        <v>1701.171527773193</v>
      </c>
      <c r="K18" s="89">
        <f t="shared" si="3"/>
        <v>0.48755775809651647</v>
      </c>
      <c r="L18" s="72">
        <f>K18*'Assumed Values'!$C$8</f>
        <v>3660.5836477886455</v>
      </c>
      <c r="M18" s="73">
        <f t="shared" si="0"/>
        <v>1419.6374507985274</v>
      </c>
      <c r="N18" s="88">
        <f>I18*'Inputs &amp; Outputs'!B$16*'Benefit Calculations'!G18*('Benefit Calculations'!D$4-'Benefit Calculations'!D$5)</f>
        <v>733.39735941427466</v>
      </c>
      <c r="O18" s="89">
        <f t="shared" si="4"/>
        <v>0.21019254467419116</v>
      </c>
      <c r="P18" s="72">
        <f>ABS(O18*'Assumed Values'!$C$7)</f>
        <v>400.41679760433414</v>
      </c>
      <c r="Q18" s="73">
        <f t="shared" si="1"/>
        <v>155.28853770390546</v>
      </c>
      <c r="T18" s="85">
        <f t="shared" si="5"/>
        <v>0.44230459722103022</v>
      </c>
      <c r="U18" s="86">
        <f>T18*'Assumed Values'!$D$8</f>
        <v>0</v>
      </c>
    </row>
    <row r="19" spans="2:21" x14ac:dyDescent="0.25">
      <c r="F19" s="70">
        <f t="shared" si="2"/>
        <v>2033</v>
      </c>
      <c r="G19" s="80">
        <f t="shared" si="6"/>
        <v>29520.75762623463</v>
      </c>
      <c r="H19" s="79">
        <f t="shared" si="8"/>
        <v>5.2663019666729927E-3</v>
      </c>
      <c r="I19" s="70">
        <f>IF(AND(F19&gt;='Inputs &amp; Outputs'!B$13,F19&lt;'Inputs &amp; Outputs'!B$13+'Inputs &amp; Outputs'!B$19),1,0)</f>
        <v>1</v>
      </c>
      <c r="J19" s="71">
        <f>I19*'Inputs &amp; Outputs'!B$16*'Benefit Calculations'!G19*('Benefit Calculations'!C$4-'Benefit Calculations'!C$5)</f>
        <v>1710.1304107355531</v>
      </c>
      <c r="K19" s="89">
        <f t="shared" si="3"/>
        <v>0.49012538447684684</v>
      </c>
      <c r="L19" s="72">
        <f>K19*'Assumed Values'!$C$8</f>
        <v>3679.8613866521659</v>
      </c>
      <c r="M19" s="73">
        <f t="shared" si="0"/>
        <v>1333.7511124276919</v>
      </c>
      <c r="N19" s="88">
        <f>I19*'Inputs &amp; Outputs'!B$16*'Benefit Calculations'!G19*('Benefit Calculations'!D$4-'Benefit Calculations'!D$5)</f>
        <v>737.25965137051082</v>
      </c>
      <c r="O19" s="89">
        <f t="shared" si="4"/>
        <v>0.21129948208558882</v>
      </c>
      <c r="P19" s="72">
        <f>ABS(O19*'Assumed Values'!$C$7)</f>
        <v>402.52551337304669</v>
      </c>
      <c r="Q19" s="73">
        <f t="shared" si="1"/>
        <v>145.89377012655819</v>
      </c>
      <c r="T19" s="85">
        <f t="shared" si="5"/>
        <v>0.44463390679124382</v>
      </c>
      <c r="U19" s="86">
        <f>T19*'Assumed Values'!$D$8</f>
        <v>0</v>
      </c>
    </row>
    <row r="20" spans="2:21" x14ac:dyDescent="0.25">
      <c r="F20" s="70">
        <f t="shared" si="2"/>
        <v>2034</v>
      </c>
      <c r="G20" s="80">
        <f t="shared" si="6"/>
        <v>29676.222850179347</v>
      </c>
      <c r="H20" s="79">
        <f t="shared" si="8"/>
        <v>5.2663019666729927E-3</v>
      </c>
      <c r="I20" s="70">
        <f>IF(AND(F20&gt;='Inputs &amp; Outputs'!B$13,F20&lt;'Inputs &amp; Outputs'!B$13+'Inputs &amp; Outputs'!B$19),1,0)</f>
        <v>1</v>
      </c>
      <c r="J20" s="71">
        <f>I20*'Inputs &amp; Outputs'!B$16*'Benefit Calculations'!G20*('Benefit Calculations'!C$4-'Benefit Calculations'!C$5)</f>
        <v>1719.1364738808772</v>
      </c>
      <c r="K20" s="89">
        <f t="shared" si="3"/>
        <v>0.49270653275303367</v>
      </c>
      <c r="L20" s="72">
        <f>K20*'Assumed Values'!$C$8</f>
        <v>3699.2406479097767</v>
      </c>
      <c r="M20" s="73">
        <f t="shared" si="0"/>
        <v>1253.0607930225444</v>
      </c>
      <c r="N20" s="88">
        <f>I20*'Inputs &amp; Outputs'!B$16*'Benefit Calculations'!G20*('Benefit Calculations'!D$4-'Benefit Calculations'!D$5)</f>
        <v>741.14228332247205</v>
      </c>
      <c r="O20" s="89">
        <f t="shared" si="4"/>
        <v>0.21241224896365316</v>
      </c>
      <c r="P20" s="72">
        <f>ABS(O20*'Assumed Values'!$C$7)</f>
        <v>404.64533427575924</v>
      </c>
      <c r="Q20" s="73">
        <f t="shared" si="1"/>
        <v>137.0673745561692</v>
      </c>
      <c r="T20" s="85">
        <f t="shared" si="5"/>
        <v>0.44697548320902808</v>
      </c>
      <c r="U20" s="86">
        <f>T20*'Assumed Values'!$D$8</f>
        <v>0</v>
      </c>
    </row>
    <row r="21" spans="2:21" x14ac:dyDescent="0.25">
      <c r="F21" s="70">
        <f t="shared" si="2"/>
        <v>2035</v>
      </c>
      <c r="G21" s="80">
        <f t="shared" si="6"/>
        <v>29832.506800938674</v>
      </c>
      <c r="H21" s="79">
        <f t="shared" si="8"/>
        <v>5.2663019666729927E-3</v>
      </c>
      <c r="I21" s="70">
        <f>IF(AND(F21&gt;='Inputs &amp; Outputs'!B$13,F21&lt;'Inputs &amp; Outputs'!B$13+'Inputs &amp; Outputs'!B$19),1,0)</f>
        <v>1</v>
      </c>
      <c r="J21" s="71">
        <f>I21*'Inputs &amp; Outputs'!B$16*'Benefit Calculations'!G21*('Benefit Calculations'!C$4-'Benefit Calculations'!C$5)</f>
        <v>1728.1899656742553</v>
      </c>
      <c r="K21" s="89">
        <f t="shared" si="3"/>
        <v>0.49530127413546354</v>
      </c>
      <c r="L21" s="72">
        <f>K21*'Assumed Values'!$C$8</f>
        <v>3718.7219662090602</v>
      </c>
      <c r="M21" s="73">
        <f t="shared" si="0"/>
        <v>1177.2521397581304</v>
      </c>
      <c r="N21" s="88">
        <f>I21*'Inputs &amp; Outputs'!B$16*'Benefit Calculations'!G21*('Benefit Calculations'!D$4-'Benefit Calculations'!D$5)</f>
        <v>745.04536238671767</v>
      </c>
      <c r="O21" s="89">
        <f t="shared" si="4"/>
        <v>0.21353087600811588</v>
      </c>
      <c r="P21" s="72">
        <f>ABS(O21*'Assumed Values'!$C$7)</f>
        <v>406.77631879546072</v>
      </c>
      <c r="Q21" s="73">
        <f t="shared" si="1"/>
        <v>128.77496517790755</v>
      </c>
      <c r="T21" s="85">
        <f t="shared" si="5"/>
        <v>0.44932939107530639</v>
      </c>
      <c r="U21" s="86">
        <f>T21*'Assumed Values'!$D$8</f>
        <v>0</v>
      </c>
    </row>
    <row r="22" spans="2:21" x14ac:dyDescent="0.25">
      <c r="F22" s="70">
        <f t="shared" si="2"/>
        <v>2036</v>
      </c>
      <c r="G22" s="80">
        <f t="shared" si="6"/>
        <v>29989.613790175245</v>
      </c>
      <c r="H22" s="79">
        <f t="shared" si="8"/>
        <v>5.2663019666729927E-3</v>
      </c>
      <c r="I22" s="70">
        <f>IF(AND(F22&gt;='Inputs &amp; Outputs'!B$13,F22&lt;'Inputs &amp; Outputs'!B$13+'Inputs &amp; Outputs'!B$19),1,0)</f>
        <v>1</v>
      </c>
      <c r="J22" s="71">
        <f>I22*'Inputs &amp; Outputs'!B$16*'Benefit Calculations'!G22*('Benefit Calculations'!C$4-'Benefit Calculations'!C$5)</f>
        <v>1737.2911358892702</v>
      </c>
      <c r="K22" s="89">
        <f t="shared" si="3"/>
        <v>0.49790968020953885</v>
      </c>
      <c r="L22" s="72">
        <f>K22*'Assumed Values'!$C$8</f>
        <v>3738.3058790132177</v>
      </c>
      <c r="M22" s="73">
        <f t="shared" si="0"/>
        <v>1106.0298177729055</v>
      </c>
      <c r="N22" s="88">
        <f>I22*'Inputs &amp; Outputs'!B$16*'Benefit Calculations'!G22*('Benefit Calculations'!D$4-'Benefit Calculations'!D$5)</f>
        <v>748.96899624391551</v>
      </c>
      <c r="O22" s="89">
        <f t="shared" si="4"/>
        <v>0.21465539408038284</v>
      </c>
      <c r="P22" s="72">
        <f>ABS(O22*'Assumed Values'!$C$7)</f>
        <v>408.91852572312933</v>
      </c>
      <c r="Q22" s="73">
        <f t="shared" si="1"/>
        <v>120.98423647689927</v>
      </c>
      <c r="T22" s="85">
        <f t="shared" si="5"/>
        <v>0.45169569533121029</v>
      </c>
      <c r="U22" s="86">
        <f>T22*'Assumed Values'!$D$8</f>
        <v>0</v>
      </c>
    </row>
    <row r="23" spans="2:21" x14ac:dyDescent="0.25">
      <c r="F23" s="70">
        <f t="shared" si="2"/>
        <v>2037</v>
      </c>
      <c r="G23" s="80">
        <f t="shared" si="6"/>
        <v>30147.548152258209</v>
      </c>
      <c r="H23" s="79">
        <f t="shared" si="8"/>
        <v>5.2663019666729927E-3</v>
      </c>
      <c r="I23" s="70">
        <f>IF(AND(F23&gt;='Inputs &amp; Outputs'!B$13,F23&lt;'Inputs &amp; Outputs'!B$13+'Inputs &amp; Outputs'!B$19),1,0)</f>
        <v>1</v>
      </c>
      <c r="J23" s="71">
        <f>I23*'Inputs &amp; Outputs'!B$16*'Benefit Calculations'!G23*('Benefit Calculations'!C$4-'Benefit Calculations'!C$5)</f>
        <v>1746.4402356148876</v>
      </c>
      <c r="K23" s="89">
        <f t="shared" si="3"/>
        <v>0.50053182293765186</v>
      </c>
      <c r="L23" s="72">
        <f>K23*'Assumed Values'!$C$8</f>
        <v>3757.9929266158902</v>
      </c>
      <c r="M23" s="73">
        <f t="shared" si="0"/>
        <v>1039.1163596050858</v>
      </c>
      <c r="N23" s="88">
        <f>I23*'Inputs &amp; Outputs'!B$16*'Benefit Calculations'!G23*('Benefit Calculations'!D$4-'Benefit Calculations'!D$5)</f>
        <v>752.91329314181201</v>
      </c>
      <c r="O23" s="89">
        <f t="shared" si="4"/>
        <v>0.21578583420438535</v>
      </c>
      <c r="P23" s="72">
        <f>ABS(O23*'Assumed Values'!$C$7)</f>
        <v>411.07201415935407</v>
      </c>
      <c r="Q23" s="73">
        <f t="shared" si="1"/>
        <v>113.6648373826112</v>
      </c>
      <c r="T23" s="85">
        <f t="shared" si="5"/>
        <v>0.45407446125987078</v>
      </c>
      <c r="U23" s="86">
        <f>T23*'Assumed Values'!$D$8</f>
        <v>0</v>
      </c>
    </row>
    <row r="24" spans="2:21" x14ac:dyDescent="0.25">
      <c r="F24" s="70">
        <f t="shared" si="2"/>
        <v>2038</v>
      </c>
      <c r="G24" s="80">
        <f t="shared" si="6"/>
        <v>30306.314244382815</v>
      </c>
      <c r="H24" s="79">
        <f t="shared" si="8"/>
        <v>5.2663019666729927E-3</v>
      </c>
      <c r="I24" s="70">
        <f>IF(AND(F24&gt;='Inputs &amp; Outputs'!B$13,F24&lt;'Inputs &amp; Outputs'!B$13+'Inputs &amp; Outputs'!B$19),1,0)</f>
        <v>1</v>
      </c>
      <c r="J24" s="71">
        <f>I24*'Inputs &amp; Outputs'!B$16*'Benefit Calculations'!G24*('Benefit Calculations'!C$4-'Benefit Calculations'!C$5)</f>
        <v>1755.637517262383</v>
      </c>
      <c r="K24" s="89">
        <f t="shared" si="3"/>
        <v>0.5031677746611708</v>
      </c>
      <c r="L24" s="72">
        <f>K24*'Assumed Values'!$C$8</f>
        <v>3777.7836521560703</v>
      </c>
      <c r="M24" s="73">
        <f t="shared" si="0"/>
        <v>976.25108423670667</v>
      </c>
      <c r="N24" s="88">
        <f>I24*'Inputs &amp; Outputs'!B$16*'Benefit Calculations'!G24*('Benefit Calculations'!D$4-'Benefit Calculations'!D$5)</f>
        <v>756.87836189821894</v>
      </c>
      <c r="O24" s="89">
        <f t="shared" si="4"/>
        <v>0.21692222756743607</v>
      </c>
      <c r="P24" s="72">
        <f>ABS(O24*'Assumed Values'!$C$7)</f>
        <v>413.23684351596569</v>
      </c>
      <c r="Q24" s="73">
        <f t="shared" si="1"/>
        <v>106.78825302734656</v>
      </c>
      <c r="T24" s="85">
        <f t="shared" si="5"/>
        <v>0.45646575448821958</v>
      </c>
      <c r="U24" s="86">
        <f>T24*'Assumed Values'!$D$8</f>
        <v>0</v>
      </c>
    </row>
    <row r="25" spans="2:21" x14ac:dyDescent="0.25">
      <c r="F25" s="70">
        <f t="shared" si="2"/>
        <v>2039</v>
      </c>
      <c r="G25" s="80">
        <f t="shared" si="6"/>
        <v>30465.916446690619</v>
      </c>
      <c r="H25" s="79">
        <f t="shared" si="8"/>
        <v>5.2663019666729927E-3</v>
      </c>
      <c r="I25" s="70">
        <f>IF(AND(F25&gt;='Inputs &amp; Outputs'!B$13,F25&lt;'Inputs &amp; Outputs'!B$13+'Inputs &amp; Outputs'!B$19),1,0)</f>
        <v>1</v>
      </c>
      <c r="J25" s="71">
        <f>I25*'Inputs &amp; Outputs'!B$16*'Benefit Calculations'!G25*('Benefit Calculations'!C$4-'Benefit Calculations'!C$5)</f>
        <v>1764.8832345723069</v>
      </c>
      <c r="K25" s="89">
        <f t="shared" si="3"/>
        <v>0.50581760810243548</v>
      </c>
      <c r="L25" s="72">
        <f>K25*'Assumed Values'!$C$8</f>
        <v>3797.6786016330857</v>
      </c>
      <c r="M25" s="73">
        <f t="shared" si="0"/>
        <v>917.18908153419557</v>
      </c>
      <c r="N25" s="88">
        <f>I25*'Inputs &amp; Outputs'!B$16*'Benefit Calculations'!G25*('Benefit Calculations'!D$4-'Benefit Calculations'!D$5)</f>
        <v>760.86431190401584</v>
      </c>
      <c r="O25" s="89">
        <f t="shared" si="4"/>
        <v>0.21806460552108956</v>
      </c>
      <c r="P25" s="72">
        <f>ABS(O25*'Assumed Values'!$C$7)</f>
        <v>415.41307351767563</v>
      </c>
      <c r="Q25" s="73">
        <f t="shared" si="1"/>
        <v>100.32769365820754</v>
      </c>
      <c r="T25" s="85">
        <f t="shared" si="5"/>
        <v>0.45886964098879979</v>
      </c>
      <c r="U25" s="86">
        <f>T25*'Assumed Values'!$D$8</f>
        <v>0</v>
      </c>
    </row>
    <row r="26" spans="2:21" x14ac:dyDescent="0.25">
      <c r="F26" s="70">
        <f t="shared" si="2"/>
        <v>2040</v>
      </c>
      <c r="G26" s="80">
        <f t="shared" si="6"/>
        <v>30626.359162390319</v>
      </c>
      <c r="H26" s="79">
        <f t="shared" si="8"/>
        <v>5.2663019666729927E-3</v>
      </c>
      <c r="I26" s="70">
        <f>IF(AND(F26&gt;='Inputs &amp; Outputs'!B$13,F26&lt;'Inputs &amp; Outputs'!B$13+'Inputs &amp; Outputs'!B$19),1,0)</f>
        <v>1</v>
      </c>
      <c r="J26" s="71">
        <f>I26*'Inputs &amp; Outputs'!B$16*'Benefit Calculations'!G26*('Benefit Calculations'!C$4-'Benefit Calculations'!C$5)</f>
        <v>1774.1776426214831</v>
      </c>
      <c r="K26" s="89">
        <f t="shared" si="3"/>
        <v>0.50848139636676304</v>
      </c>
      <c r="L26" s="72">
        <f>K26*'Assumed Values'!$C$8</f>
        <v>3817.678323921657</v>
      </c>
      <c r="M26" s="73">
        <f t="shared" si="0"/>
        <v>861.70025812905601</v>
      </c>
      <c r="N26" s="88">
        <f>I26*'Inputs &amp; Outputs'!B$16*'Benefit Calculations'!G26*('Benefit Calculations'!D$4-'Benefit Calculations'!D$5)</f>
        <v>764.87125312616718</v>
      </c>
      <c r="O26" s="89">
        <f t="shared" si="4"/>
        <v>0.21921299958200702</v>
      </c>
      <c r="P26" s="72">
        <f>ABS(O26*'Assumed Values'!$C$7)</f>
        <v>417.60076420372337</v>
      </c>
      <c r="Q26" s="73">
        <f t="shared" si="1"/>
        <v>94.257990269749072</v>
      </c>
      <c r="T26" s="85">
        <f t="shared" si="5"/>
        <v>0.46128618708158559</v>
      </c>
      <c r="U26" s="86">
        <f>T26*'Assumed Values'!$D$8</f>
        <v>0</v>
      </c>
    </row>
    <row r="27" spans="2:21" x14ac:dyDescent="0.25">
      <c r="F27" s="70">
        <f t="shared" si="2"/>
        <v>2041</v>
      </c>
      <c r="G27" s="80">
        <f t="shared" si="6"/>
        <v>30787.646817879249</v>
      </c>
      <c r="H27" s="79">
        <f t="shared" si="8"/>
        <v>5.2663019666729927E-3</v>
      </c>
      <c r="I27" s="70">
        <f>IF(AND(F27&gt;='Inputs &amp; Outputs'!B$13,F27&lt;'Inputs &amp; Outputs'!B$13+'Inputs &amp; Outputs'!B$19),1,0)</f>
        <v>1</v>
      </c>
      <c r="J27" s="71">
        <f>I27*'Inputs &amp; Outputs'!B$16*'Benefit Calculations'!G27*('Benefit Calculations'!C$4-'Benefit Calculations'!C$5)</f>
        <v>1783.5209978300479</v>
      </c>
      <c r="K27" s="89">
        <f t="shared" si="3"/>
        <v>0.51115921294446609</v>
      </c>
      <c r="L27" s="72">
        <f>K27*'Assumed Values'!$C$8</f>
        <v>3837.7833707870514</v>
      </c>
      <c r="M27" s="73">
        <f t="shared" si="0"/>
        <v>809.56844102161108</v>
      </c>
      <c r="N27" s="88">
        <f>I27*'Inputs &amp; Outputs'!B$16*'Benefit Calculations'!G27*('Benefit Calculations'!D$4-'Benefit Calculations'!D$5)</f>
        <v>768.89929611075718</v>
      </c>
      <c r="O27" s="89">
        <f t="shared" si="4"/>
        <v>0.22036744143282605</v>
      </c>
      <c r="P27" s="72">
        <f>ABS(O27*'Assumed Values'!$C$7)</f>
        <v>419.79997592953362</v>
      </c>
      <c r="Q27" s="73">
        <f t="shared" si="1"/>
        <v>88.555496550730183</v>
      </c>
      <c r="T27" s="85">
        <f t="shared" si="5"/>
        <v>0.46371545943581244</v>
      </c>
      <c r="U27" s="86">
        <f>T27*'Assumed Values'!$D$8</f>
        <v>0</v>
      </c>
    </row>
    <row r="28" spans="2:21" x14ac:dyDescent="0.25">
      <c r="F28" s="70">
        <f t="shared" si="2"/>
        <v>2042</v>
      </c>
      <c r="G28" s="80">
        <f t="shared" si="6"/>
        <v>30949.783862865479</v>
      </c>
      <c r="H28" s="79">
        <f t="shared" si="8"/>
        <v>5.2663019666729927E-3</v>
      </c>
      <c r="I28" s="70">
        <f>IF(AND(F28&gt;='Inputs &amp; Outputs'!B$13,F28&lt;'Inputs &amp; Outputs'!B$13+'Inputs &amp; Outputs'!B$19),1,0)</f>
        <v>1</v>
      </c>
      <c r="J28" s="71">
        <f>I28*'Inputs &amp; Outputs'!B$16*'Benefit Calculations'!G28*('Benefit Calculations'!C$4-'Benefit Calculations'!C$5)</f>
        <v>1792.9135579685228</v>
      </c>
      <c r="K28" s="89">
        <f t="shared" si="3"/>
        <v>0.51385113171287844</v>
      </c>
      <c r="L28" s="72">
        <f>K28*'Assumed Values'!$C$8</f>
        <v>3857.9942969002914</v>
      </c>
      <c r="M28" s="73">
        <f t="shared" si="0"/>
        <v>760.5905354156256</v>
      </c>
      <c r="N28" s="88">
        <f>I28*'Inputs &amp; Outputs'!B$16*'Benefit Calculations'!G28*('Benefit Calculations'!D$4-'Benefit Calculations'!D$5)</f>
        <v>772.94855198603864</v>
      </c>
      <c r="O28" s="89">
        <f t="shared" si="4"/>
        <v>0.22152796292303439</v>
      </c>
      <c r="P28" s="72">
        <f>ABS(O28*'Assumed Values'!$C$7)</f>
        <v>422.01076936838052</v>
      </c>
      <c r="Q28" s="73">
        <f t="shared" si="1"/>
        <v>83.197996762967264</v>
      </c>
      <c r="T28" s="85">
        <f t="shared" si="5"/>
        <v>0.46615752507181596</v>
      </c>
      <c r="U28" s="86">
        <f>T28*'Assumed Values'!$D$8</f>
        <v>0</v>
      </c>
    </row>
    <row r="29" spans="2:21" x14ac:dyDescent="0.25">
      <c r="F29" s="70">
        <f t="shared" si="2"/>
        <v>2043</v>
      </c>
      <c r="G29" s="80">
        <f t="shared" si="6"/>
        <v>31112.774770490592</v>
      </c>
      <c r="H29" s="79">
        <f t="shared" si="8"/>
        <v>5.2663019666729927E-3</v>
      </c>
      <c r="I29" s="70">
        <f>IF(AND(F29&gt;='Inputs &amp; Outputs'!B$13,F29&lt;'Inputs &amp; Outputs'!B$13+'Inputs &amp; Outputs'!B$19),1,0)</f>
        <v>1</v>
      </c>
      <c r="J29" s="71">
        <f>I29*'Inputs &amp; Outputs'!B$16*'Benefit Calculations'!G29*('Benefit Calculations'!C$4-'Benefit Calculations'!C$5)</f>
        <v>1802.3555821649272</v>
      </c>
      <c r="K29" s="89">
        <f t="shared" si="3"/>
        <v>0.51655722693839523</v>
      </c>
      <c r="L29" s="72">
        <f>K29*'Assumed Values'!$C$8</f>
        <v>3878.3116598534716</v>
      </c>
      <c r="M29" s="73">
        <f t="shared" si="0"/>
        <v>714.57573350291398</v>
      </c>
      <c r="N29" s="88">
        <f>I29*'Inputs &amp; Outputs'!B$16*'Benefit Calculations'!G29*('Benefit Calculations'!D$4-'Benefit Calculations'!D$5)</f>
        <v>777.01913246549987</v>
      </c>
      <c r="O29" s="89">
        <f t="shared" si="4"/>
        <v>0.22269459606984907</v>
      </c>
      <c r="P29" s="72">
        <f>ABS(O29*'Assumed Values'!$C$7)</f>
        <v>424.23320551306244</v>
      </c>
      <c r="Q29" s="73">
        <f t="shared" si="1"/>
        <v>78.164619193404988</v>
      </c>
      <c r="T29" s="85">
        <f t="shared" si="5"/>
        <v>0.46861245136288104</v>
      </c>
      <c r="U29" s="86">
        <f>T29*'Assumed Values'!$D$8</f>
        <v>0</v>
      </c>
    </row>
    <row r="30" spans="2:21" x14ac:dyDescent="0.25">
      <c r="F30" s="70">
        <f t="shared" si="2"/>
        <v>2044</v>
      </c>
      <c r="G30" s="80">
        <f t="shared" si="6"/>
        <v>31276.624037453083</v>
      </c>
      <c r="H30" s="79">
        <f t="shared" si="8"/>
        <v>5.2663019666729927E-3</v>
      </c>
      <c r="I30" s="70">
        <f>IF(AND(F30&gt;='Inputs &amp; Outputs'!B$13,F30&lt;'Inputs &amp; Outputs'!B$13+'Inputs &amp; Outputs'!B$19),1,0)</f>
        <v>1</v>
      </c>
      <c r="J30" s="71">
        <f>I30*'Inputs &amp; Outputs'!B$16*'Benefit Calculations'!G30*('Benefit Calculations'!C$4-'Benefit Calculations'!C$5)</f>
        <v>1811.8473309119265</v>
      </c>
      <c r="K30" s="89">
        <f t="shared" si="3"/>
        <v>0.51927757327851998</v>
      </c>
      <c r="L30" s="72">
        <f>K30*'Assumed Values'!$C$8</f>
        <v>3898.736020175128</v>
      </c>
      <c r="M30" s="73">
        <f t="shared" si="0"/>
        <v>671.34477111551121</v>
      </c>
      <c r="N30" s="88">
        <f>I30*'Inputs &amp; Outputs'!B$16*'Benefit Calculations'!G30*('Benefit Calculations'!D$4-'Benefit Calculations'!D$5)</f>
        <v>781.11114985094548</v>
      </c>
      <c r="O30" s="89">
        <f t="shared" si="4"/>
        <v>0.22386737305909915</v>
      </c>
      <c r="P30" s="72">
        <f>ABS(O30*'Assumed Values'!$C$7)</f>
        <v>426.46734567758386</v>
      </c>
      <c r="Q30" s="73">
        <f t="shared" si="1"/>
        <v>73.435754842231276</v>
      </c>
      <c r="T30" s="85">
        <f t="shared" si="5"/>
        <v>0.47108030603710088</v>
      </c>
      <c r="U30" s="86">
        <f>T30*'Assumed Values'!$D$8</f>
        <v>0</v>
      </c>
    </row>
    <row r="31" spans="2:21" x14ac:dyDescent="0.25">
      <c r="F31" s="70">
        <f t="shared" si="2"/>
        <v>2045</v>
      </c>
      <c r="G31" s="80">
        <f>'Inputs &amp; Outputs'!$B$24</f>
        <v>32278</v>
      </c>
      <c r="H31" s="79">
        <f t="shared" si="8"/>
        <v>5.2663019666729927E-3</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32447.98569488027</v>
      </c>
      <c r="H32" s="79">
        <f t="shared" si="8"/>
        <v>5.2663019666729927E-3</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32618.866585759795</v>
      </c>
      <c r="H33" s="79">
        <f t="shared" si="8"/>
        <v>5.2663019666729927E-3</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32790.647387011028</v>
      </c>
      <c r="H34" s="79">
        <f t="shared" si="8"/>
        <v>5.2663019666729927E-3</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32963.332837833725</v>
      </c>
      <c r="H35" s="79">
        <f t="shared" si="8"/>
        <v>5.2663019666729927E-3</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33136.927702385707</v>
      </c>
      <c r="H36" s="79">
        <f t="shared" si="8"/>
        <v>5.2663019666729927E-3</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34488.95914028379</v>
      </c>
      <c r="K37" s="71">
        <f t="shared" ref="K37:Q37" si="9">SUM(K4:K36)</f>
        <v>9.8845762011607192</v>
      </c>
      <c r="L37" s="74">
        <f t="shared" si="9"/>
        <v>74213.398118314668</v>
      </c>
      <c r="M37" s="75">
        <f t="shared" si="9"/>
        <v>25894.809818815331</v>
      </c>
      <c r="N37" s="88">
        <f t="shared" si="9"/>
        <v>14868.642667409646</v>
      </c>
      <c r="O37" s="88">
        <f t="shared" si="9"/>
        <v>4.2613704535425088</v>
      </c>
      <c r="P37" s="76">
        <f t="shared" si="9"/>
        <v>8117.9107139984771</v>
      </c>
      <c r="Q37" s="75">
        <f t="shared" si="9"/>
        <v>2832.531044192101</v>
      </c>
      <c r="T37" s="85">
        <f>SUM(T4:T36)</f>
        <v>8.9671293764737854</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'Inputs &amp; Outputs'!Print_Area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Lad, Paresh - HPW</cp:lastModifiedBy>
  <cp:lastPrinted>2018-10-25T19:32:57Z</cp:lastPrinted>
  <dcterms:created xsi:type="dcterms:W3CDTF">2012-07-25T15:48:32Z</dcterms:created>
  <dcterms:modified xsi:type="dcterms:W3CDTF">2018-10-25T19:33:01Z</dcterms:modified>
</cp:coreProperties>
</file>