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Lower Westheimer (N-2013T-C01, N-100034)\"/>
    </mc:Choice>
  </mc:AlternateContent>
  <xr:revisionPtr revIDLastSave="0" documentId="10_ncr:100000_{F8456B41-06D5-4211-8561-E2A7AC92D8EE}" xr6:coauthVersionLast="31" xr6:coauthVersionMax="31"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Outputs'!$B$3:$H$38</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s="1"/>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s="1"/>
  <c r="J7" i="7" s="1"/>
  <c r="M10" i="12"/>
  <c r="J6" i="7"/>
  <c r="J5" i="7"/>
  <c r="J4" i="7"/>
  <c r="P10" i="12" l="1"/>
  <c r="P11" i="12" s="1"/>
  <c r="H8" i="7"/>
  <c r="I8" i="7" s="1"/>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s="1"/>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s="1"/>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<sst xmlns="http://schemas.openxmlformats.org/spreadsheetml/2006/main" count="440" uniqueCount="285">
  <si>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</si>
  <si>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</si>
  <si>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</si>
  <si>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</si>
  <si>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</si>
  <si>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</si>
  <si>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</si>
  <si>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</si>
  <si>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</si>
  <si>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</si>
  <si>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</si>
  <si>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</si>
  <si>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</si>
  <si>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</si>
  <si>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</si>
  <si>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</si>
  <si>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</si>
  <si>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</si>
  <si>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</si>
  <si>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</si>
  <si>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</si>
  <si>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</si>
  <si>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</si>
  <si>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</si>
  <si>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</si>
  <si>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</si>
  <si>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</si>
  <si>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</si>
  <si>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</si>
  <si>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</si>
  <si>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</si>
  <si>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</si>
  <si>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</si>
  <si>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</si>
  <si>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</si>
  <si>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</si>
  <si>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</si>
  <si>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</si>
  <si>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</si>
  <si>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</si>
  <si>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</si>
  <si>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</si>
  <si>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</si>
  <si>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</si>
  <si>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</si>
  <si>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</si>
  <si>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</si>
  <si>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</si>
  <si>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</si>
  <si>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</si>
  <si>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</si>
  <si>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</si>
  <si>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</si>
  <si>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</si>
  <si>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</si>
  <si>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</si>
  <si>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</si>
  <si>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</si>
  <si>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</si>
  <si>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</si>
  <si>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</si>
  <si>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</si>
  <si>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</si>
  <si>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</si>
  <si>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</si>
  <si>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</si>
  <si>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</si>
  <si>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</si>
  <si>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</si>
  <si>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</si>
  <si>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</si>
  <si>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</si>
  <si>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</si>
  <si>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</si>
  <si>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</si>
  <si>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</si>
  <si>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</si>
  <si>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</si>
  <si>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</si>
  <si>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</si>
  <si>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</si>
  <si>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</si>
  <si>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</si>
  <si>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</si>
  <si>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</si>
  <si>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</si>
  <si>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</si>
  <si>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</si>
  <si>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</si>
  <si>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</si>
  <si>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</si>
  <si>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</si>
  <si>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</si>
  <si>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</si>
  <si>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</si>
  <si>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</si>
  <si>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</si>
  <si>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</si>
  <si>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</si>
  <si>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</si>
  <si>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</si>
  <si>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</si>
  <si>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</si>
  <si>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</si>
  <si>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</si>
  <si>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</si>
  <si>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</si>
  <si>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</si>
  <si>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</si>
  <si>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</si>
  <si>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</si>
  <si>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</si>
  <si>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</si>
  <si>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</si>
  <si>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</si>
  <si>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</si>
  <si>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</si>
  <si>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</si>
  <si>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</si>
  <si>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</si>
  <si>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</si>
  <si>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</si>
  <si>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</si>
  <si>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</si>
  <si>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</si>
  <si>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</si>
  <si>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</si>
  <si>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</si>
  <si>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</si>
  <si>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</si>
  <si>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</si>
  <si>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</si>
  <si>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</si>
  <si>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</si>
  <si>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</si>
  <si>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</si>
  <si>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</si>
  <si>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</si>
  <si>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</si>
  <si>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</si>
  <si>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</si>
  <si>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</si>
  <si>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</si>
  <si>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</si>
  <si>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</si>
  <si>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</si>
  <si>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</si>
  <si>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</si>
  <si>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</si>
  <si>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</si>
  <si>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</si>
  <si>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</si>
  <si>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</si>
  <si>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</si>
  <si>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</si>
  <si>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</si>
  <si>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</si>
  <si>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</si>
  <si>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</si>
  <si>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</si>
  <si>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</si>
  <si>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</si>
  <si>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</si>
  <si>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</si>
  <si>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</si>
  <si>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</si>
  <si>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</si>
  <si>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</si>
  <si>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</si>
  <si>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</si>
  <si>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</si>
  <si>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</si>
  <si>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</si>
  <si>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</si>
  <si>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</si>
  <si>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</si>
  <si>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</si>
  <si>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</si>
  <si>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</si>
  <si>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</si>
  <si>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</si>
  <si>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</si>
  <si>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</si>
  <si>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</si>
  <si>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</si>
  <si>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</si>
  <si>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</si>
  <si>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</si>
  <si>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</si>
  <si>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</si>
  <si>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</si>
  <si>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</si>
  <si>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</si>
  <si>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</si>
  <si>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</si>
  <si>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</si>
  <si>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</si>
  <si>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</si>
  <si>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</si>
  <si>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</si>
  <si>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</si>
  <si>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</si>
  <si>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</si>
  <si>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</si>
  <si>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</si>
  <si>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</si>
  <si>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</si>
  <si>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</si>
  <si>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</si>
  <si>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</si>
  <si>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</si>
  <si>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</si>
  <si>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</si>
  <si>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</si>
  <si>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</si>
  <si>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</si>
  <si>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</si>
  <si>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</si>
  <si>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</si>
  <si>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</si>
  <si>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</si>
  <si>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</si>
  <si>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</si>
  <si>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</si>
  <si>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</si>
  <si>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</si>
  <si>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</si>
  <si>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</si>
  <si>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</si>
  <si>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</si>
  <si>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</si>
  <si>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</si>
  <si>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</si>
  <si>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</si>
  <si>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</si>
  <si>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</si>
  <si>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</si>
  <si>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</si>
  <si>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</si>
  <si>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</si>
  <si>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</si>
  <si>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</si>
  <si>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</si>
  <si>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</si>
  <si>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</si>
  <si>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</si>
  <si>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</si>
  <si>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</si>
  <si>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</si>
  <si>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</si>
  <si>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</si>
  <si>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</si>
  <si>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</si>
  <si>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</si>
  <si>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</si>
  <si>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</si>
  <si>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</si>
  <si>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</si>
  <si>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</si>
  <si>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</si>
  <si>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</si>
  <si>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</si>
  <si>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</si>
  <si>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</si>
  <si>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</si>
  <si>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</si>
  <si>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</si>
  <si>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</si>
  <si>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</si>
  <si>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</si>
  <si>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</si>
  <si>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</si>
  <si>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</si>
  <si>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</si>
  <si>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</si>
  <si>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</si>
  <si>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</si>
  <si>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</si>
  <si>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</si>
  <si>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</si>
  <si>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</si>
  <si>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Lower Westheimer</t>
  </si>
  <si>
    <t>Westheimer Rd</t>
  </si>
  <si>
    <t xml:space="preserve">S. Main </t>
  </si>
  <si>
    <t>Shepherd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</si>
</sst>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00000000-0005-0000-0000-000004000000}"/>
    <cellStyle name="Normal_Crashes" xfId="6" xr:uid="{00000000-0005-0000-0000-000005000000}"/>
    <cellStyle name="Normal_Sheet1" xfId="5" xr:uid="{00000000-0005-0000-0000-000006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A23" zoomScale="83" zoomScaleNormal="83" workbookViewId="0">
      <selection activeCell="J30" sqref="J30"/>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3.6</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2025</v>
      </c>
      <c r="D17" s="96"/>
    </row>
    <row r="18" spans="2:13" x14ac:dyDescent="0.25">
      <c r="B18" s="4" t="s">
        <v>259</v>
      </c>
      <c r="C18" s="120" t="s">
        <v>219</v>
      </c>
      <c r="D18" s="26"/>
    </row>
    <row r="19" spans="2:13" x14ac:dyDescent="0.25">
      <c r="B19" s="122" t="s">
        <v>251</v>
      </c>
      <c r="C19" s="174">
        <f>VLOOKUP(C18,'CRF Lookup Table'!C3:F84,2, FALSE)</f>
        <v>201</v>
      </c>
      <c r="D19" s="97"/>
    </row>
    <row r="20" spans="2:13" x14ac:dyDescent="0.25">
      <c r="B20" s="122" t="s">
        <v>102</v>
      </c>
      <c r="C20" s="175">
        <f>VLOOKUP(C18,'CRF Lookup Table'!C3:F84,3, FALSE)</f>
        <v>0.65</v>
      </c>
      <c r="D20" s="98"/>
      <c r="F20" s="68"/>
    </row>
    <row r="21" spans="2:13" x14ac:dyDescent="0.25">
      <c r="B21" s="122" t="s">
        <v>101</v>
      </c>
      <c r="C21" s="176">
        <f>VLOOKUP(C18,'CRF Lookup Table'!C3:F84,4, FALSE)</f>
        <v>15</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24163</v>
      </c>
      <c r="D25" s="99"/>
      <c r="I25" s="49"/>
    </row>
    <row r="26" spans="2:13" x14ac:dyDescent="0.25">
      <c r="I26" s="49"/>
    </row>
    <row r="27" spans="2:13" x14ac:dyDescent="0.25">
      <c r="B27" s="86" t="s">
        <v>269</v>
      </c>
      <c r="C27" s="87">
        <v>12683</v>
      </c>
      <c r="D27" s="99"/>
      <c r="I27" s="49"/>
    </row>
    <row r="28" spans="2:13" x14ac:dyDescent="0.25">
      <c r="B28" s="86" t="s">
        <v>150</v>
      </c>
      <c r="C28" s="87">
        <v>21683</v>
      </c>
      <c r="D28" s="99"/>
      <c r="I28" s="49"/>
    </row>
    <row r="29" spans="2:13" x14ac:dyDescent="0.25">
      <c r="B29" s="86" t="s">
        <v>270</v>
      </c>
      <c r="C29" s="88">
        <v>14206</v>
      </c>
      <c r="D29" s="69"/>
      <c r="I29" s="49"/>
    </row>
    <row r="30" spans="2:13" x14ac:dyDescent="0.25">
      <c r="B30" s="86" t="s">
        <v>151</v>
      </c>
      <c r="C30" s="88">
        <v>21683</v>
      </c>
      <c r="D30" s="69"/>
      <c r="I30" s="49"/>
    </row>
    <row r="31" spans="2:13" x14ac:dyDescent="0.25">
      <c r="B31" s="86" t="s">
        <v>271</v>
      </c>
      <c r="C31" s="87">
        <v>16515</v>
      </c>
      <c r="D31" s="99"/>
      <c r="H31" s="70"/>
    </row>
    <row r="32" spans="2:13" x14ac:dyDescent="0.25">
      <c r="B32" s="86" t="s">
        <v>152</v>
      </c>
      <c r="C32" s="87">
        <v>21683</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55659.659733242661</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86"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27064.541354569108</v>
      </c>
      <c r="G4" s="183" t="s">
        <v>260</v>
      </c>
      <c r="H4" s="183"/>
      <c r="I4" s="183"/>
      <c r="J4" s="183"/>
      <c r="L4" s="136"/>
      <c r="M4" s="137">
        <v>2018</v>
      </c>
      <c r="N4" s="138">
        <f>_2018_Volume_ADT</f>
        <v>24163</v>
      </c>
      <c r="O4" s="139" t="s">
        <v>85</v>
      </c>
      <c r="P4" s="140">
        <f>MIN(B12,1)</f>
        <v>0.58492828483143477</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15</v>
      </c>
      <c r="D5" s="134" t="s">
        <v>145</v>
      </c>
      <c r="E5" s="135">
        <f>$E$4*'Inputs &amp; Outputs'!$C$12</f>
        <v>97432.348876448785</v>
      </c>
      <c r="G5" s="184" t="s">
        <v>261</v>
      </c>
      <c r="H5" s="184"/>
      <c r="I5" s="184"/>
      <c r="J5" s="143">
        <f>SUMPRODUCT(Possible_Crash_Reductions,'Value of Statistical Life'!E5:E11)</f>
        <v>8777553.7771463543</v>
      </c>
      <c r="L5" s="136"/>
      <c r="M5" s="144">
        <f t="shared" ref="M5:M36" si="1">M4+1</f>
        <v>2019</v>
      </c>
      <c r="N5" s="145">
        <f>N4+(N4*O5)</f>
        <v>24557.635113369808</v>
      </c>
      <c r="O5" s="146">
        <f t="shared" ref="O5:O11" si="2">IF(ISERROR(_2025_2045_Demand_Growth),_2018_2045_Demand_Growth,_2018_2025_Demand_Growth)</f>
        <v>1.633220681909564E-2</v>
      </c>
      <c r="P5" s="147">
        <f t="shared" ref="P5:P11" si="3">P4*(1+IFERROR(_2018_2025_V_C_Growth,_2018_2045_V_C_Growth))</f>
        <v>0.59448145455364065</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25332410.707876682</v>
      </c>
      <c r="L6" s="136"/>
      <c r="M6" s="137">
        <f t="shared" si="1"/>
        <v>2020</v>
      </c>
      <c r="N6" s="145">
        <f t="shared" ref="N6:N36" si="6">N5+(N5*O6)</f>
        <v>24958.715489029248</v>
      </c>
      <c r="O6" s="146">
        <f t="shared" si="2"/>
        <v>1.633220681909564E-2</v>
      </c>
      <c r="P6" s="147">
        <f t="shared" si="3"/>
        <v>0.60419064861952754</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25366.346392335039</v>
      </c>
      <c r="O7" s="146">
        <f t="shared" si="2"/>
        <v>1.633220681909564E-2</v>
      </c>
      <c r="P7" s="147">
        <f t="shared" si="3"/>
        <v>0.61405841525094518</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25780.634807859475</v>
      </c>
      <c r="O8" s="146">
        <f t="shared" si="2"/>
        <v>1.633220681909564E-2</v>
      </c>
      <c r="P8" s="147">
        <f t="shared" si="3"/>
        <v>0.62408734428782975</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1.633220681909564E-2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26201.689467469012</v>
      </c>
      <c r="O9" s="146">
        <f t="shared" si="2"/>
        <v>1.633220681909564E-2</v>
      </c>
      <c r="P9" s="147">
        <f t="shared" si="3"/>
        <v>0.63428006786791868</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7.5586559138516307E-3</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26629.620878861435</v>
      </c>
      <c r="O10" s="146">
        <f t="shared" si="2"/>
        <v>1.633220681909564E-2</v>
      </c>
      <c r="P10" s="147">
        <f t="shared" si="3"/>
        <v>0.64463926111756753</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9.82598120934286E-3</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27064.541354569108</v>
      </c>
      <c r="O11" s="146">
        <f t="shared" si="2"/>
        <v>1.633220681909564E-2</v>
      </c>
      <c r="P11" s="147">
        <f t="shared" si="3"/>
        <v>0.65516764285384865</v>
      </c>
      <c r="Q11" s="148">
        <f t="shared" si="4"/>
        <v>1</v>
      </c>
      <c r="R11" s="37">
        <f>IF(M11=Year_Open_to_Traffic?,Calculations!$J$5,Calculations!R10+(Calculations!R10*Calculations!O11*Q11))</f>
        <v>8777553.7771463543</v>
      </c>
      <c r="S11" s="54">
        <f t="shared" si="0"/>
        <v>1</v>
      </c>
      <c r="T11" s="37">
        <f t="shared" si="5"/>
        <v>8777.5537771463551</v>
      </c>
      <c r="U11" s="142">
        <f>T11/(1+Real_Discount_Rate)^(Calculations!M11-'Assumed Values'!$C$5)</f>
        <v>5466.2193490960108</v>
      </c>
    </row>
    <row r="12" spans="1:21" ht="15.75" x14ac:dyDescent="0.25">
      <c r="A12" s="152" t="s">
        <v>75</v>
      </c>
      <c r="B12" s="156">
        <f>'Inputs &amp; Outputs'!C27/_2018_Peak_Period_Capacity</f>
        <v>0.58492828483143477</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27269.112910134503</v>
      </c>
      <c r="O12" s="146">
        <f t="shared" ref="O12:O36" si="7">IFERROR(_2025_2045_Demand_Growth,_2018_2045_Demand_Growth)</f>
        <v>7.5586559138516307E-3</v>
      </c>
      <c r="P12" s="147">
        <f t="shared" ref="P12:P36" si="8">P11*(1+IFERROR(_2025_2040_V_C_Growth,_2018_2045_V_C_Growth))</f>
        <v>0.66011982963207017</v>
      </c>
      <c r="Q12" s="148">
        <f t="shared" si="4"/>
        <v>1</v>
      </c>
      <c r="R12" s="37">
        <f>IF(M12=Year_Open_to_Traffic?,Calculations!$J$5,Calculations!R11+(Calculations!R11*Calculations!O12*Q12))</f>
        <v>8843900.2859131321</v>
      </c>
      <c r="S12" s="54">
        <f t="shared" si="0"/>
        <v>1</v>
      </c>
      <c r="T12" s="37">
        <f t="shared" si="5"/>
        <v>8843.9002859131324</v>
      </c>
      <c r="U12" s="142">
        <f>T12/(1+Real_Discount_Rate)^(Calculations!M12-'Assumed Values'!$C$5)</f>
        <v>5147.2304862667897</v>
      </c>
    </row>
    <row r="13" spans="1:21" ht="15.75" x14ac:dyDescent="0.25">
      <c r="A13" s="152" t="s">
        <v>74</v>
      </c>
      <c r="B13" s="156">
        <f>_2025_Peak_Period_Volume/_2025_Peak_Period_Capacity</f>
        <v>0.65516764285384865</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27475.230751698178</v>
      </c>
      <c r="O13" s="146">
        <f t="shared" si="7"/>
        <v>7.5586559138516307E-3</v>
      </c>
      <c r="P13" s="147">
        <f t="shared" si="8"/>
        <v>0.66510944828616936</v>
      </c>
      <c r="Q13" s="148">
        <f t="shared" si="4"/>
        <v>1</v>
      </c>
      <c r="R13" s="37">
        <f>IF(M13=Year_Open_to_Traffic?,Calculations!$J$5,Calculations!R12+(Calculations!R12*Calculations!O13*Q13))</f>
        <v>8910748.2851107642</v>
      </c>
      <c r="S13" s="54">
        <f t="shared" si="0"/>
        <v>1</v>
      </c>
      <c r="T13" s="37">
        <f t="shared" si="5"/>
        <v>8910.7482851107634</v>
      </c>
      <c r="U13" s="142">
        <f>T13/(1+Real_Discount_Rate)^(Calculations!M13-'Assumed Values'!$C$5)</f>
        <v>4846.8566639455767</v>
      </c>
    </row>
    <row r="14" spans="1:21" ht="15.75" x14ac:dyDescent="0.25">
      <c r="A14" s="152" t="s">
        <v>148</v>
      </c>
      <c r="B14" s="156">
        <f>_2045_Peak_Period_Volume/_2045_Peak_Period_Capacity</f>
        <v>0.76165659733431723</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27682.906567103939</v>
      </c>
      <c r="O14" s="146">
        <f t="shared" si="7"/>
        <v>7.5586559138516307E-3</v>
      </c>
      <c r="P14" s="147">
        <f>P13*(1+IFERROR(_2025_2040_V_C_Growth,_2018_2045_V_C_Growth))</f>
        <v>0.67013678175081626</v>
      </c>
      <c r="Q14" s="148">
        <f t="shared" si="4"/>
        <v>1</v>
      </c>
      <c r="R14" s="37">
        <f>IF(M14=Year_Open_to_Traffic?,Calculations!$J$5,Calculations!R13+(Calculations!R13*Calculations!O14*Q14))</f>
        <v>8978101.5653328598</v>
      </c>
      <c r="S14" s="54">
        <f t="shared" si="0"/>
        <v>1</v>
      </c>
      <c r="T14" s="37">
        <f t="shared" si="5"/>
        <v>8978.1015653328595</v>
      </c>
      <c r="U14" s="142">
        <f>T14/(1+Real_Discount_Rate)^(Calculations!M14-'Assumed Values'!$C$5)</f>
        <v>4564.0115754505614</v>
      </c>
    </row>
    <row r="15" spans="1:21" ht="15.75" x14ac:dyDescent="0.25">
      <c r="A15" s="152" t="s">
        <v>80</v>
      </c>
      <c r="B15" s="153">
        <f>(B13/B12)^(1/(2025-2018))-1</f>
        <v>1.633220681909564E-2</v>
      </c>
      <c r="L15" s="136"/>
      <c r="M15" s="144">
        <f>M14+1</f>
        <v>2029</v>
      </c>
      <c r="N15" s="145">
        <f t="shared" si="6"/>
        <v>27892.152132539981</v>
      </c>
      <c r="O15" s="146">
        <f t="shared" si="7"/>
        <v>7.5586559138516307E-3</v>
      </c>
      <c r="P15" s="147">
        <f>P14*(1+IFERROR(_2025_2040_V_C_Growth,_2018_2045_V_C_Growth))</f>
        <v>0.67520211509928652</v>
      </c>
      <c r="Q15" s="148">
        <f t="shared" si="4"/>
        <v>1</v>
      </c>
      <c r="R15" s="37">
        <f>IF(M15=Year_Open_to_Traffic?,Calculations!$J$5,Calculations!R14+(Calculations!R14*Calculations!O15*Q15))</f>
        <v>9045963.9458248243</v>
      </c>
      <c r="S15" s="54">
        <f t="shared" si="0"/>
        <v>1</v>
      </c>
      <c r="T15" s="37">
        <f t="shared" si="5"/>
        <v>9045.9639458248239</v>
      </c>
      <c r="U15" s="142">
        <f>T15/(1+Real_Discount_Rate)^(Calculations!M15-'Assumed Values'!$C$5)</f>
        <v>4297.6723070432026</v>
      </c>
    </row>
    <row r="16" spans="1:21" ht="15.75" x14ac:dyDescent="0.25">
      <c r="A16" s="152" t="s">
        <v>108</v>
      </c>
      <c r="B16" s="153">
        <f>(B14/B13)^(1/(2045-2025))-1</f>
        <v>7.5586559138516307E-3</v>
      </c>
      <c r="D16" s="157" t="s">
        <v>136</v>
      </c>
      <c r="E16" s="151"/>
      <c r="L16" s="136"/>
      <c r="M16" s="137">
        <f t="shared" si="1"/>
        <v>2030</v>
      </c>
      <c r="N16" s="145">
        <f t="shared" si="6"/>
        <v>28102.979313206655</v>
      </c>
      <c r="O16" s="146">
        <f t="shared" si="7"/>
        <v>7.5586559138516307E-3</v>
      </c>
      <c r="P16" s="147">
        <f t="shared" si="8"/>
        <v>0.68030573555962681</v>
      </c>
      <c r="Q16" s="148">
        <f t="shared" si="4"/>
        <v>1</v>
      </c>
      <c r="R16" s="37">
        <f>IF(M16=Year_Open_to_Traffic?,Calculations!$J$5,Calculations!R15+(Calculations!R15*Calculations!O16*Q16))</f>
        <v>9114339.2747004218</v>
      </c>
      <c r="S16" s="54">
        <f t="shared" si="0"/>
        <v>1</v>
      </c>
      <c r="T16" s="37">
        <f t="shared" si="5"/>
        <v>9114.3392747004218</v>
      </c>
      <c r="U16" s="142">
        <f>T16/(1+Real_Discount_Rate)^(Calculations!M16-'Assumed Values'!$C$5)</f>
        <v>4046.8756385445163</v>
      </c>
    </row>
    <row r="17" spans="1:21" ht="15.75" x14ac:dyDescent="0.25">
      <c r="A17" s="152" t="s">
        <v>109</v>
      </c>
      <c r="B17" s="153">
        <f>(B14/B12)^(1/(2045-2018))-1</f>
        <v>9.82598120934286E-3</v>
      </c>
      <c r="D17" s="152" t="s">
        <v>89</v>
      </c>
      <c r="E17" s="158">
        <f>($E$6*Death_Rate)/100000000</f>
        <v>0.44219601414976095</v>
      </c>
      <c r="L17" s="136"/>
      <c r="M17" s="144">
        <f t="shared" si="1"/>
        <v>2031</v>
      </c>
      <c r="N17" s="145">
        <f t="shared" si="6"/>
        <v>28315.400063989277</v>
      </c>
      <c r="O17" s="146">
        <f t="shared" si="7"/>
        <v>7.5586559138516307E-3</v>
      </c>
      <c r="P17" s="147">
        <f t="shared" si="8"/>
        <v>0.68544793253094172</v>
      </c>
      <c r="Q17" s="148">
        <f t="shared" si="4"/>
        <v>1</v>
      </c>
      <c r="R17" s="37">
        <f>IF(M17=Year_Open_to_Traffic?,Calculations!$J$5,Calculations!R16+(Calculations!R16*Calculations!O17*Q17))</f>
        <v>9183231.4291599859</v>
      </c>
      <c r="S17" s="54">
        <f t="shared" si="0"/>
        <v>1</v>
      </c>
      <c r="T17" s="37">
        <f t="shared" si="5"/>
        <v>9183.2314291599851</v>
      </c>
      <c r="U17" s="142">
        <f>T17/(1+Real_Discount_Rate)^(Calculations!M17-'Assumed Values'!$C$5)</f>
        <v>3810.7145598340394</v>
      </c>
    </row>
    <row r="18" spans="1:21" ht="15.75" x14ac:dyDescent="0.25">
      <c r="D18" s="152" t="s">
        <v>94</v>
      </c>
      <c r="E18" s="158">
        <f>($E$6*Incap_Injry_Rate)/100000000</f>
        <v>2.2352295295892759</v>
      </c>
      <c r="L18" s="136"/>
      <c r="M18" s="137">
        <f t="shared" si="1"/>
        <v>2032</v>
      </c>
      <c r="N18" s="145">
        <f t="shared" si="6"/>
        <v>28529.426430136024</v>
      </c>
      <c r="O18" s="146">
        <f t="shared" si="7"/>
        <v>7.5586559138516307E-3</v>
      </c>
      <c r="P18" s="147">
        <f t="shared" si="8"/>
        <v>0.69062899759980412</v>
      </c>
      <c r="Q18" s="148">
        <f t="shared" si="4"/>
        <v>1</v>
      </c>
      <c r="R18" s="37">
        <f>IF(M18=Year_Open_to_Traffic?,Calculations!$J$5,Calculations!R17+(Calculations!R17*Calculations!O18*Q18))</f>
        <v>9252644.3157102745</v>
      </c>
      <c r="S18" s="54">
        <f t="shared" si="0"/>
        <v>1</v>
      </c>
      <c r="T18" s="37">
        <f t="shared" si="5"/>
        <v>9252.6443157102749</v>
      </c>
      <c r="U18" s="142">
        <f>T18/(1+Real_Discount_Rate)^(Calculations!M18-'Assumed Values'!$C$5)</f>
        <v>3588.3349906333929</v>
      </c>
    </row>
    <row r="19" spans="1:21" ht="15.75" x14ac:dyDescent="0.25">
      <c r="D19" s="152" t="s">
        <v>93</v>
      </c>
      <c r="E19" s="158">
        <f>($E$6*Nonincap_Injry_Rate)/100000000</f>
        <v>12.611145035800119</v>
      </c>
      <c r="L19" s="136"/>
      <c r="M19" s="144">
        <f t="shared" si="1"/>
        <v>2033</v>
      </c>
      <c r="N19" s="145">
        <f t="shared" si="6"/>
        <v>28745.070547940966</v>
      </c>
      <c r="O19" s="146">
        <f t="shared" si="7"/>
        <v>7.5586559138516307E-3</v>
      </c>
      <c r="P19" s="147">
        <f t="shared" si="8"/>
        <v>0.69584922455678933</v>
      </c>
      <c r="Q19" s="148">
        <f t="shared" si="4"/>
        <v>1</v>
      </c>
      <c r="R19" s="37">
        <f>IF(M19=Year_Open_to_Traffic?,Calculations!$J$5,Calculations!R18+(Calculations!R18*Calculations!O19*Q19))</f>
        <v>9322581.870385984</v>
      </c>
      <c r="S19" s="54">
        <f t="shared" si="0"/>
        <v>1</v>
      </c>
      <c r="T19" s="37">
        <f t="shared" si="5"/>
        <v>9322.5818703859841</v>
      </c>
      <c r="U19" s="142">
        <f>T19/(1+Real_Discount_Rate)^(Calculations!M19-'Assumed Values'!$C$5)</f>
        <v>3378.9326917114245</v>
      </c>
    </row>
    <row r="20" spans="1:21" ht="15.75" x14ac:dyDescent="0.25">
      <c r="D20" s="152" t="s">
        <v>92</v>
      </c>
      <c r="E20" s="158">
        <f>($E$6*Poss_Injry_Rate/100000000)</f>
        <v>31.482929768707663</v>
      </c>
      <c r="L20" s="136"/>
      <c r="M20" s="137">
        <f t="shared" si="1"/>
        <v>2034</v>
      </c>
      <c r="N20" s="145">
        <f t="shared" si="6"/>
        <v>28962.344645432244</v>
      </c>
      <c r="O20" s="146">
        <f t="shared" si="7"/>
        <v>7.5586559138516307E-3</v>
      </c>
      <c r="P20" s="147">
        <f t="shared" si="8"/>
        <v>0.70110890941313453</v>
      </c>
      <c r="Q20" s="148">
        <f t="shared" si="4"/>
        <v>1</v>
      </c>
      <c r="R20" s="37">
        <f>IF(M20=Year_Open_to_Traffic?,Calculations!$J$5,Calculations!R19+(Calculations!R19*Calculations!O20*Q20))</f>
        <v>9393048.0589729436</v>
      </c>
      <c r="S20" s="54">
        <f t="shared" si="0"/>
        <v>1</v>
      </c>
      <c r="T20" s="37">
        <f t="shared" si="5"/>
        <v>9393.0480589729432</v>
      </c>
      <c r="U20" s="142">
        <f>T20/(1+Real_Discount_Rate)^(Calculations!M20-'Assumed Values'!$C$5)</f>
        <v>3181.7503563403143</v>
      </c>
    </row>
    <row r="21" spans="1:21" ht="15.75" x14ac:dyDescent="0.25">
      <c r="D21" s="152" t="s">
        <v>91</v>
      </c>
      <c r="E21" s="158">
        <f>($E$6*Non_Injry_Rate)/100000000</f>
        <v>244.11787570826385</v>
      </c>
      <c r="L21" s="136"/>
      <c r="M21" s="144">
        <f>M20+1</f>
        <v>2035</v>
      </c>
      <c r="N21" s="145">
        <f t="shared" si="6"/>
        <v>29181.261043065449</v>
      </c>
      <c r="O21" s="146">
        <f t="shared" si="7"/>
        <v>7.5586559138516307E-3</v>
      </c>
      <c r="P21" s="147">
        <f>P20*(1+IFERROR(_2025_2040_V_C_Growth,_2018_2045_V_C_Growth))</f>
        <v>0.70640835041752414</v>
      </c>
      <c r="Q21" s="148">
        <f t="shared" si="4"/>
        <v>1</v>
      </c>
      <c r="R21" s="37">
        <f>IF(M21=Year_Open_to_Traffic?,Calculations!$J$5,Calculations!R20+(Calculations!R20*Calculations!O21*Q21))</f>
        <v>9464046.8772329912</v>
      </c>
      <c r="S21" s="54">
        <f t="shared" si="0"/>
        <v>1</v>
      </c>
      <c r="T21" s="37">
        <f t="shared" si="5"/>
        <v>9464.0468772329914</v>
      </c>
      <c r="U21" s="142">
        <f>T21/(1+Real_Discount_Rate)^(Calculations!M21-'Assumed Values'!$C$5)</f>
        <v>2996.0748714837996</v>
      </c>
    </row>
    <row r="22" spans="1:21" ht="15.75" x14ac:dyDescent="0.25">
      <c r="D22" s="152" t="s">
        <v>90</v>
      </c>
      <c r="E22" s="158">
        <f>($E$6*Unkn_Injry_Rate)/100000000</f>
        <v>21.18261551652887</v>
      </c>
      <c r="L22" s="136"/>
      <c r="M22" s="137">
        <f>M21+1</f>
        <v>2036</v>
      </c>
      <c r="N22" s="145">
        <f t="shared" si="6"/>
        <v>29401.832154422264</v>
      </c>
      <c r="O22" s="146">
        <f t="shared" si="7"/>
        <v>7.5586559138516307E-3</v>
      </c>
      <c r="P22" s="147">
        <f t="shared" si="8"/>
        <v>0.71174784807300173</v>
      </c>
      <c r="Q22" s="148">
        <f t="shared" si="4"/>
        <v>1</v>
      </c>
      <c r="R22" s="37">
        <f>IF(M22=Year_Open_to_Traffic?,Calculations!$J$5,Calculations!R21+(Calculations!R21*Calculations!O22*Q22))</f>
        <v>9535582.3511305582</v>
      </c>
      <c r="S22" s="54">
        <f t="shared" si="0"/>
        <v>1</v>
      </c>
      <c r="T22" s="37">
        <f t="shared" si="5"/>
        <v>9535.5823511305589</v>
      </c>
      <c r="U22" s="142">
        <f>T22/(1+Real_Discount_Rate)^(Calculations!M22-'Assumed Values'!$C$5)</f>
        <v>2821.2347388126009</v>
      </c>
    </row>
    <row r="23" spans="1:21" ht="15.75" x14ac:dyDescent="0.25">
      <c r="L23" s="136"/>
      <c r="M23" s="144">
        <f t="shared" si="1"/>
        <v>2037</v>
      </c>
      <c r="N23" s="145">
        <f t="shared" si="6"/>
        <v>29624.070486914359</v>
      </c>
      <c r="O23" s="146">
        <f t="shared" si="7"/>
        <v>7.5586559138516307E-3</v>
      </c>
      <c r="P23" s="147">
        <f t="shared" si="8"/>
        <v>0.71712770515400992</v>
      </c>
      <c r="Q23" s="148">
        <f t="shared" si="4"/>
        <v>1</v>
      </c>
      <c r="R23" s="37">
        <f>IF(M23=Year_Open_to_Traffic?,Calculations!$J$5,Calculations!R22+(Calculations!R22*Calculations!O23*Q23))</f>
        <v>9607658.53706095</v>
      </c>
      <c r="S23" s="54">
        <f t="shared" si="0"/>
        <v>1</v>
      </c>
      <c r="T23" s="37">
        <f t="shared" si="5"/>
        <v>9607.65853706095</v>
      </c>
      <c r="U23" s="142">
        <f>T23/(1+Real_Discount_Rate)^(Calculations!M23-'Assumed Values'!$C$5)</f>
        <v>2656.5976462200842</v>
      </c>
    </row>
    <row r="24" spans="1:21" ht="15.75" x14ac:dyDescent="0.25">
      <c r="L24" s="136"/>
      <c r="M24" s="137">
        <f t="shared" si="1"/>
        <v>2038</v>
      </c>
      <c r="N24" s="145">
        <f t="shared" si="6"/>
        <v>29847.988642492634</v>
      </c>
      <c r="O24" s="146">
        <f t="shared" si="7"/>
        <v>7.5586559138516307E-3</v>
      </c>
      <c r="P24" s="147">
        <f t="shared" si="8"/>
        <v>0.72254822672355912</v>
      </c>
      <c r="Q24" s="148">
        <f t="shared" si="4"/>
        <v>1</v>
      </c>
      <c r="R24" s="37">
        <f>IF(M24=Year_Open_to_Traffic?,Calculations!$J$5,Calculations!R23+(Calculations!R23*Calculations!O24*Q24))</f>
        <v>9680279.522080373</v>
      </c>
      <c r="S24" s="54">
        <f t="shared" si="0"/>
        <v>1</v>
      </c>
      <c r="T24" s="37">
        <f t="shared" si="5"/>
        <v>9680.2795220803728</v>
      </c>
      <c r="U24" s="142">
        <f>T24/(1+Real_Discount_Rate)^(Calculations!M24-'Assumed Values'!$C$5)</f>
        <v>2501.5681810555234</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30073.599318361787</v>
      </c>
      <c r="O25" s="146">
        <f t="shared" si="7"/>
        <v>7.5586559138516307E-3</v>
      </c>
      <c r="P25" s="147">
        <f t="shared" si="8"/>
        <v>0.72800972015052612</v>
      </c>
      <c r="Q25" s="148">
        <f t="shared" si="4"/>
        <v>1</v>
      </c>
      <c r="R25" s="37">
        <f>IF(M25=Year_Open_to_Traffic?,Calculations!$J$5,Calculations!R24+(Calculations!R24*Calculations!O25*Q25))</f>
        <v>9753449.4241376836</v>
      </c>
      <c r="S25" s="54">
        <f t="shared" si="0"/>
        <v>1</v>
      </c>
      <c r="T25" s="37">
        <f t="shared" si="5"/>
        <v>9753.4494241376833</v>
      </c>
      <c r="U25" s="142">
        <f>T25/(1+Real_Discount_Rate)^(Calculations!M25-'Assumed Values'!$C$5)</f>
        <v>2355.5856768048243</v>
      </c>
    </row>
    <row r="26" spans="1:21" ht="15.75" x14ac:dyDescent="0.25">
      <c r="A26" s="181"/>
      <c r="B26" s="181"/>
      <c r="D26" s="160">
        <f>Calculations!E17</f>
        <v>0.44219601414976095</v>
      </c>
      <c r="E26" s="160">
        <f>Calculations!E18</f>
        <v>2.2352295295892759</v>
      </c>
      <c r="F26" s="160">
        <f>Calculations!E19</f>
        <v>12.611145035800119</v>
      </c>
      <c r="G26" s="160">
        <f>Calculations!E20</f>
        <v>31.482929768707663</v>
      </c>
      <c r="H26" s="160">
        <f>Calculations!E21</f>
        <v>244.11787570826385</v>
      </c>
      <c r="I26" s="160">
        <f>Calculations!E22</f>
        <v>21.18261551652887</v>
      </c>
      <c r="J26" s="182"/>
      <c r="L26" s="136"/>
      <c r="M26" s="137">
        <f t="shared" si="1"/>
        <v>2040</v>
      </c>
      <c r="N26" s="145">
        <f t="shared" si="6"/>
        <v>30300.915307700325</v>
      </c>
      <c r="O26" s="146">
        <f t="shared" si="7"/>
        <v>7.5586559138516307E-3</v>
      </c>
      <c r="P26" s="147">
        <f t="shared" si="8"/>
        <v>0.73351249512708339</v>
      </c>
      <c r="Q26" s="148">
        <f t="shared" si="4"/>
        <v>1</v>
      </c>
      <c r="R26" s="37">
        <f>IF(M26=Year_Open_to_Traffic?,Calculations!$J$5,Calculations!R25+(Calculations!R25*Calculations!O26*Q26))</f>
        <v>9827172.3923078943</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4.9936145305789222E-2</v>
      </c>
      <c r="F27" s="163">
        <f>F$26*'Value of Statistical Life'!F17*Appropriate_Crash_Reduction_Factor</f>
        <v>0.68422397948985336</v>
      </c>
      <c r="G27" s="163">
        <f>G$26*'Value of Statistical Life'!G17*Appropriate_Crash_Reduction_Factor</f>
        <v>4.7961252624298094</v>
      </c>
      <c r="H27" s="163">
        <f>H$26*'Value of Statistical Life'!H17*Appropriate_Crash_Reduction_Factor</f>
        <v>146.82982282012517</v>
      </c>
      <c r="I27" s="163">
        <f>I$26*'Value of Statistical Life'!I17*Appropriate_Crash_Reduction_Factor</f>
        <v>6.0136174494494474</v>
      </c>
      <c r="J27" s="163">
        <f t="shared" ref="J27:J33" si="9">SUM(D27:I27)</f>
        <v>158.37372565680008</v>
      </c>
      <c r="K27" s="164"/>
      <c r="L27" s="136"/>
      <c r="M27" s="144">
        <f t="shared" si="1"/>
        <v>2041</v>
      </c>
      <c r="N27" s="145">
        <f t="shared" si="6"/>
        <v>30529.949500385992</v>
      </c>
      <c r="O27" s="146">
        <f t="shared" si="7"/>
        <v>7.5586559138516307E-3</v>
      </c>
      <c r="P27" s="147">
        <f t="shared" si="8"/>
        <v>0.73905686368625978</v>
      </c>
      <c r="Q27" s="148">
        <f t="shared" si="4"/>
        <v>1</v>
      </c>
      <c r="R27" s="37">
        <f>IF(M27=Year_Open_to_Traffic?,Calculations!$J$5,Calculations!R26+(Calculations!R26*Calculations!O27*Q27))</f>
        <v>9901452.6070274524</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0.80561807421027254</v>
      </c>
      <c r="F28" s="163">
        <f>F$26*'Value of Statistical Life'!F18*Appropriate_Crash_Reduction_Factor</f>
        <v>6.2990084169089249</v>
      </c>
      <c r="G28" s="163">
        <f>G$26*'Value of Statistical Life'!G18*Appropriate_Crash_Reduction_Factor</f>
        <v>14.109043492916571</v>
      </c>
      <c r="H28" s="163">
        <f>H$26*'Value of Statistical Life'!H18*Appropriate_Crash_Reduction_Factor</f>
        <v>11.515162256096659</v>
      </c>
      <c r="I28" s="163">
        <f>I$26*'Value of Statistical Life'!I18*Appropriate_Crash_Reduction_Factor</f>
        <v>5.7469177287885902</v>
      </c>
      <c r="J28" s="163">
        <f t="shared" si="9"/>
        <v>38.475749968921015</v>
      </c>
      <c r="K28" s="164"/>
      <c r="L28" s="136"/>
      <c r="M28" s="137">
        <f t="shared" si="1"/>
        <v>2042</v>
      </c>
      <c r="N28" s="145">
        <f t="shared" si="6"/>
        <v>30760.714883726676</v>
      </c>
      <c r="O28" s="146">
        <f t="shared" si="7"/>
        <v>7.5586559138516307E-3</v>
      </c>
      <c r="P28" s="147">
        <f t="shared" si="8"/>
        <v>0.74464314021963451</v>
      </c>
      <c r="Q28" s="148">
        <f t="shared" si="4"/>
        <v>1</v>
      </c>
      <c r="R28" s="37">
        <f>IF(M28=Year_Open_to_Traffic?,Calculations!$J$5,Calculations!R27+(Calculations!R27*Calculations!O28*Q28))</f>
        <v>9976294.2803312819</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0.30377216353024178</v>
      </c>
      <c r="F29" s="163">
        <f>F$26*'Value of Statistical Life'!F19*Appropriate_Crash_Reduction_Factor</f>
        <v>0.89333568090097304</v>
      </c>
      <c r="G29" s="163">
        <f>G$26*'Value of Statistical Life'!G19*Appropriate_Crash_Reduction_Factor</f>
        <v>1.3078481269867692</v>
      </c>
      <c r="H29" s="163">
        <f>H$26*'Value of Statistical Life'!H19*Appropriate_Crash_Reduction_Factor</f>
        <v>0.31417970603653561</v>
      </c>
      <c r="I29" s="163">
        <f>I$26*'Value of Statistical Life'!I19*Appropriate_Crash_Reduction_Factor</f>
        <v>1.2215590716071869</v>
      </c>
      <c r="J29" s="163">
        <f t="shared" si="9"/>
        <v>4.0406947490617071</v>
      </c>
      <c r="K29" s="164"/>
      <c r="L29" s="136"/>
      <c r="M29" s="144">
        <f t="shared" si="1"/>
        <v>2043</v>
      </c>
      <c r="N29" s="145">
        <f t="shared" si="6"/>
        <v>30993.224543196862</v>
      </c>
      <c r="O29" s="146">
        <f t="shared" si="7"/>
        <v>7.5586559138516307E-3</v>
      </c>
      <c r="P29" s="147">
        <f t="shared" si="8"/>
        <v>0.75027164149516468</v>
      </c>
      <c r="Q29" s="148">
        <f t="shared" si="4"/>
        <v>1</v>
      </c>
      <c r="R29" s="37">
        <f>IF(M29=Year_Open_to_Traffic?,Calculations!$J$5,Calculations!R28+(Calculations!R28*Calculations!O29*Q29))</f>
        <v>10051701.656091632</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0.20975505667142244</v>
      </c>
      <c r="F30" s="163">
        <f>F$26*'Value of Statistical Life'!F20*Appropriate_Crash_Reduction_Factor</f>
        <v>0.26157406476004819</v>
      </c>
      <c r="G30" s="163">
        <f>G$26*'Value of Statistical Life'!G20*Appropriate_Crash_Reduction_Factor</f>
        <v>0.21916841558485842</v>
      </c>
      <c r="H30" s="163">
        <f>H$26*'Value of Statistical Life'!H20*Appropriate_Crash_Reduction_Factor</f>
        <v>1.2694129536829721E-2</v>
      </c>
      <c r="I30" s="163">
        <f>I$26*'Value of Statistical Life'!I20*Appropriate_Crash_Reduction_Factor</f>
        <v>0.66323828313027711</v>
      </c>
      <c r="J30" s="163">
        <f t="shared" si="9"/>
        <v>1.366429949683436</v>
      </c>
      <c r="K30" s="164"/>
      <c r="L30" s="136"/>
      <c r="M30" s="144">
        <f t="shared" si="1"/>
        <v>2044</v>
      </c>
      <c r="N30" s="145">
        <f t="shared" si="6"/>
        <v>31227.49166317963</v>
      </c>
      <c r="O30" s="146">
        <f t="shared" si="7"/>
        <v>7.5586559138516307E-3</v>
      </c>
      <c r="P30" s="147">
        <f t="shared" si="8"/>
        <v>0.7559426866751473</v>
      </c>
      <c r="Q30" s="148">
        <f t="shared" si="4"/>
        <v>1</v>
      </c>
      <c r="R30" s="37">
        <f>IF(M30=Year_Open_to_Traffic?,Calculations!$J$5,Calculations!R29+(Calculations!R29*Calculations!O30*Q30))</f>
        <v>10127679.010258721</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5.7912561882128545E-2</v>
      </c>
      <c r="F31" s="163">
        <f>F$26*'Value of Statistical Life'!F21*Appropriate_Crash_Reduction_Factor</f>
        <v>5.0822914494274479E-2</v>
      </c>
      <c r="G31" s="163">
        <f>G$26*'Value of Statistical Life'!G21*Appropriate_Crash_Reduction_Factor</f>
        <v>2.9058744176517177E-2</v>
      </c>
      <c r="H31" s="163">
        <f>H$26*'Value of Statistical Life'!H21*Appropriate_Crash_Reduction_Factor</f>
        <v>0</v>
      </c>
      <c r="I31" s="163">
        <f>I$26*'Value of Statistical Life'!I21*Appropriate_Crash_Reduction_Factor</f>
        <v>8.495287952903903E-2</v>
      </c>
      <c r="J31" s="163">
        <f t="shared" si="9"/>
        <v>0.22274710008195925</v>
      </c>
      <c r="K31" s="164"/>
      <c r="L31" s="136"/>
      <c r="M31" s="144">
        <f t="shared" si="1"/>
        <v>2045</v>
      </c>
      <c r="N31" s="145">
        <f t="shared" si="6"/>
        <v>31463.529527714276</v>
      </c>
      <c r="O31" s="146">
        <f t="shared" si="7"/>
        <v>7.5586559138516307E-3</v>
      </c>
      <c r="P31" s="147">
        <f t="shared" si="8"/>
        <v>0.76165659733431734</v>
      </c>
      <c r="Q31" s="148">
        <f t="shared" si="4"/>
        <v>1</v>
      </c>
      <c r="R31" s="37">
        <f>IF(M31=Year_Open_to_Traffic?,Calculations!$J$5,Calculations!R30+(Calculations!R30*Calculations!O31*Q31))</f>
        <v>10204230.651103204</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2.5905192633174912E-2</v>
      </c>
      <c r="F32" s="163">
        <f>F$26*'Value of Statistical Life'!F22*Appropriate_Crash_Reduction_Factor</f>
        <v>8.2792167160027786E-3</v>
      </c>
      <c r="G32" s="163">
        <f>G$26*'Value of Statistical Life'!G22*Appropriate_Crash_Reduction_Factor</f>
        <v>2.6603075654557974E-3</v>
      </c>
      <c r="H32" s="163">
        <f>H$26*'Value of Statistical Life'!H22*Appropriate_Crash_Reduction_Factor</f>
        <v>4.7602985763111451E-3</v>
      </c>
      <c r="I32" s="163">
        <f>I$26*'Value of Statistical Life'!I22*Appropriate_Crash_Reduction_Factor</f>
        <v>3.8414673239225101E-2</v>
      </c>
      <c r="J32" s="163">
        <f t="shared" si="9"/>
        <v>8.0019688730169736E-2</v>
      </c>
      <c r="K32" s="164"/>
      <c r="L32" s="136"/>
      <c r="M32" s="144">
        <f t="shared" si="1"/>
        <v>2046</v>
      </c>
      <c r="N32" s="145">
        <f t="shared" si="6"/>
        <v>31701.35152124958</v>
      </c>
      <c r="O32" s="146">
        <f t="shared" si="7"/>
        <v>7.5586559138516307E-3</v>
      </c>
      <c r="P32" s="147">
        <f t="shared" si="8"/>
        <v>0.76741369747808252</v>
      </c>
      <c r="Q32" s="148">
        <f t="shared" si="4"/>
        <v>1</v>
      </c>
      <c r="R32" s="37">
        <f>IF(M32=Year_Open_to_Traffic?,Calculations!$J$5,Calculations!R31+(Calculations!R31*Calculations!O32*Q32))</f>
        <v>10281360.919460472</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0.28742740919734461</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0.28742740919734461</v>
      </c>
      <c r="K33" s="164"/>
      <c r="L33" s="136"/>
      <c r="M33" s="144">
        <f t="shared" si="1"/>
        <v>2047</v>
      </c>
      <c r="N33" s="145">
        <f t="shared" si="6"/>
        <v>31940.971129402762</v>
      </c>
      <c r="O33" s="146">
        <f t="shared" si="7"/>
        <v>7.5586559138516307E-3</v>
      </c>
      <c r="P33" s="147">
        <f t="shared" si="8"/>
        <v>0.77321431356089598</v>
      </c>
      <c r="Q33" s="148">
        <f t="shared" si="4"/>
        <v>1</v>
      </c>
      <c r="R33" s="37">
        <f>IF(M33=Year_Open_to_Traffic?,Calculations!$J$5,Calculations!R32+(Calculations!R32*Calculations!O33*Q33))</f>
        <v>10359074.188976794</v>
      </c>
      <c r="S33" s="54">
        <f t="shared" si="0"/>
        <v>0</v>
      </c>
      <c r="T33" s="37">
        <f t="shared" si="5"/>
        <v>0</v>
      </c>
      <c r="U33" s="142">
        <f>T33/(1+Real_Discount_Rate)^(Calculations!M33-'Assumed Values'!$C$5)</f>
        <v>0</v>
      </c>
    </row>
    <row r="34" spans="1:21" ht="15.75" x14ac:dyDescent="0.25">
      <c r="J34" s="166"/>
      <c r="L34" s="136"/>
      <c r="M34" s="144">
        <f t="shared" si="1"/>
        <v>2048</v>
      </c>
      <c r="N34" s="145">
        <f t="shared" si="6"/>
        <v>32182.401939724186</v>
      </c>
      <c r="O34" s="146">
        <f t="shared" si="7"/>
        <v>7.5586559138516307E-3</v>
      </c>
      <c r="P34" s="147">
        <f t="shared" si="8"/>
        <v>0.77905877450476779</v>
      </c>
      <c r="Q34" s="148">
        <f t="shared" si="4"/>
        <v>1</v>
      </c>
      <c r="R34" s="37">
        <f>IF(M34=Year_Open_to_Traffic?,Calculations!$J$5,Calculations!R33+(Calculations!R33*Calculations!O34*Q34))</f>
        <v>10437374.866357332</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32425.657642467831</v>
      </c>
      <c r="O35" s="146">
        <f t="shared" si="7"/>
        <v>7.5586559138516307E-3</v>
      </c>
      <c r="P35" s="147">
        <f t="shared" si="8"/>
        <v>0.78494741171791627</v>
      </c>
      <c r="Q35" s="148">
        <f t="shared" si="4"/>
        <v>1</v>
      </c>
      <c r="R35" s="37">
        <f>IF(M35=Year_Open_to_Traffic?,Calculations!$J$5,Calculations!R34+(Calculations!R34*Calculations!O35*Q35))</f>
        <v>10516267.391616011</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32670.7520313676</v>
      </c>
      <c r="O36" s="146">
        <f t="shared" si="7"/>
        <v>7.5586559138516307E-3</v>
      </c>
      <c r="P36" s="147">
        <f t="shared" si="8"/>
        <v>0.79088055911356048</v>
      </c>
      <c r="Q36" s="148">
        <f t="shared" si="4"/>
        <v>1</v>
      </c>
      <c r="R36" s="37">
        <f>IF(M36=Year_Open_to_Traffic?,Calculations!$J$5,Calculations!R35+(Calculations!R35*Calculations!O36*Q36))</f>
        <v>10595756.238327295</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55659.659733242661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pageSetUpPr fitToPage="1"/>
  </sheetPr>
  <dimension ref="B1:F84"/>
  <sheetViews>
    <sheetView topLeftCell="A28" workbookViewId="0">
      <selection activeCell="F32" sqref="F32"/>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2018-10-25T19:33:57Z</cp:lastPrinted>
  <dcterms:created xsi:type="dcterms:W3CDTF">2012-07-25T15:48:32Z</dcterms:created>
  <dcterms:modified xsi:type="dcterms:W3CDTF">2018-10-25T19:34:00Z</dcterms:modified>
</cp:coreProperties>
</file>