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0_FM1008/"/>
    </mc:Choice>
  </mc:AlternateContent>
  <xr:revisionPtr revIDLastSave="11" documentId="8_{816EDD3D-ADF6-4513-BFCF-FE0B84A3A344}" xr6:coauthVersionLast="40" xr6:coauthVersionMax="40" xr10:uidLastSave="{649472C5-67BE-4DA7-B71D-8C4B17F54C62}"/>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E6" i="12"/>
  <c r="D19" i="1"/>
  <c r="D20" i="1"/>
  <c r="D18" i="1"/>
  <c r="B7" i="12"/>
  <c r="L12" i="12"/>
  <c r="L4" i="12"/>
  <c r="B9" i="12"/>
  <c r="D12" i="1"/>
  <c r="E10" i="1"/>
  <c r="E11" i="1"/>
  <c r="E6" i="1"/>
  <c r="E12" i="1"/>
  <c r="E7" i="1"/>
  <c r="E9" i="1"/>
  <c r="E4" i="1"/>
  <c r="H5" i="1"/>
  <c r="E8" i="1"/>
  <c r="H6" i="1"/>
  <c r="E5" i="1"/>
  <c r="H4" i="1"/>
  <c r="C21" i="1"/>
  <c r="D21" i="1"/>
  <c r="H7" i="1"/>
  <c r="E10" i="12"/>
  <c r="E9" i="12"/>
  <c r="Q4"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P4" i="12"/>
  <c r="S4" i="12"/>
  <c r="T4" i="12"/>
  <c r="E12" i="12"/>
  <c r="F22" i="11"/>
  <c r="F23" i="11"/>
  <c r="E5" i="12"/>
  <c r="E7" i="12"/>
  <c r="M30" i="12"/>
  <c r="E8" i="12"/>
  <c r="I4" i="12"/>
  <c r="M32" i="12"/>
  <c r="M20" i="12"/>
  <c r="M19" i="12"/>
  <c r="M13" i="12"/>
  <c r="M36" i="12"/>
  <c r="M26" i="12"/>
  <c r="M29" i="12"/>
  <c r="M31" i="12"/>
  <c r="M22" i="12"/>
  <c r="M21" i="12"/>
  <c r="M28" i="12"/>
  <c r="M35" i="12"/>
  <c r="M33" i="12"/>
  <c r="M12" i="12"/>
  <c r="M24" i="12"/>
  <c r="M27" i="12"/>
  <c r="M17" i="12"/>
  <c r="M18" i="12"/>
  <c r="M34" i="12"/>
  <c r="M15" i="12"/>
  <c r="M16" i="12"/>
  <c r="M14" i="12"/>
  <c r="M23" i="12"/>
  <c r="M25" i="12"/>
  <c r="N4" i="12"/>
  <c r="E11" i="12"/>
  <c r="E13" i="12"/>
  <c r="M11" i="12"/>
  <c r="M5" i="12"/>
  <c r="I5" i="12"/>
  <c r="M7" i="12"/>
  <c r="M9" i="12"/>
  <c r="M8" i="12"/>
  <c r="M10" i="12"/>
  <c r="M6" i="12"/>
  <c r="I6" i="12"/>
  <c r="I7" i="12"/>
  <c r="I8" i="12"/>
  <c r="I9" i="12"/>
  <c r="O4" i="12"/>
  <c r="N5" i="12"/>
  <c r="J5" i="12"/>
  <c r="K5" i="12"/>
  <c r="K6" i="12"/>
  <c r="K7" i="12"/>
  <c r="K8"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G29" i="11"/>
  <c r="F4" i="12"/>
  <c r="J9" i="12"/>
  <c r="J6" i="12"/>
  <c r="P5" i="12"/>
  <c r="S5" i="12"/>
  <c r="T5" i="12"/>
  <c r="N6" i="12"/>
  <c r="O5" i="12"/>
  <c r="F29" i="11"/>
  <c r="E4"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J10" i="12"/>
  <c r="O6" i="12"/>
  <c r="N7" i="12"/>
  <c r="J7" i="12"/>
  <c r="P6" i="12"/>
  <c r="S6" i="12"/>
  <c r="T6" i="12"/>
  <c r="P9" i="12"/>
  <c r="S9" i="12"/>
  <c r="T9" i="12"/>
  <c r="P10" i="12"/>
  <c r="S10" i="12"/>
  <c r="T10" i="12"/>
  <c r="J11" i="12"/>
  <c r="J8" i="12"/>
  <c r="P8" i="12"/>
  <c r="S8" i="12"/>
  <c r="T8" i="12"/>
  <c r="P7" i="12"/>
  <c r="S7" i="12"/>
  <c r="T7" i="12"/>
  <c r="O7" i="12"/>
  <c r="N8" i="12"/>
  <c r="O8" i="12"/>
  <c r="N9" i="12"/>
  <c r="P11" i="12"/>
  <c r="S11" i="12"/>
  <c r="T11" i="12"/>
  <c r="J12" i="12"/>
  <c r="J13" i="12"/>
  <c r="P12" i="12"/>
  <c r="S12" i="12"/>
  <c r="T12" i="12"/>
  <c r="O9" i="12"/>
  <c r="N10" i="12"/>
  <c r="P13" i="12"/>
  <c r="S13" i="12"/>
  <c r="T13" i="12"/>
  <c r="J14" i="12"/>
  <c r="O10" i="12"/>
  <c r="N11" i="12"/>
  <c r="J15" i="12"/>
  <c r="P14" i="12"/>
  <c r="S14" i="12"/>
  <c r="T14" i="12"/>
  <c r="N12" i="12"/>
  <c r="O11" i="12"/>
  <c r="N13" i="12"/>
  <c r="O12" i="12"/>
  <c r="P15" i="12"/>
  <c r="S15" i="12"/>
  <c r="T15" i="12"/>
  <c r="J16" i="12"/>
  <c r="J17" i="12"/>
  <c r="P16" i="12"/>
  <c r="S16" i="12"/>
  <c r="T16" i="12"/>
  <c r="O13" i="12"/>
  <c r="N14" i="12"/>
  <c r="O14" i="12"/>
  <c r="N15" i="12"/>
  <c r="J18" i="12"/>
  <c r="P17" i="12"/>
  <c r="S17" i="12"/>
  <c r="T17" i="12"/>
  <c r="J19" i="12"/>
  <c r="P18" i="12"/>
  <c r="S18" i="12"/>
  <c r="T18" i="12"/>
  <c r="O15" i="12"/>
  <c r="N16" i="12"/>
  <c r="N17" i="12"/>
  <c r="O16" i="12"/>
  <c r="J20" i="12"/>
  <c r="P19" i="12"/>
  <c r="S19" i="12"/>
  <c r="T19" i="12"/>
  <c r="J21" i="12"/>
  <c r="P20" i="12"/>
  <c r="S20" i="12"/>
  <c r="T20" i="12"/>
  <c r="O17" i="12"/>
  <c r="N18" i="12"/>
  <c r="N19" i="12"/>
  <c r="O18" i="12"/>
  <c r="P21" i="12"/>
  <c r="S21" i="12"/>
  <c r="T21" i="12"/>
  <c r="J22" i="12"/>
  <c r="P22" i="12"/>
  <c r="S22" i="12"/>
  <c r="T22" i="12"/>
  <c r="J23" i="12"/>
  <c r="O19" i="12"/>
  <c r="N20" i="12"/>
  <c r="O20" i="12"/>
  <c r="N21" i="12"/>
  <c r="J24" i="12"/>
  <c r="P23" i="12"/>
  <c r="S23" i="12"/>
  <c r="T23" i="12"/>
  <c r="O21" i="12"/>
  <c r="N22" i="12"/>
  <c r="J25" i="12"/>
  <c r="P24" i="12"/>
  <c r="S24" i="12"/>
  <c r="T24" i="12"/>
  <c r="J26" i="12"/>
  <c r="P25" i="12"/>
  <c r="S25" i="12"/>
  <c r="T25" i="12"/>
  <c r="O22" i="12"/>
  <c r="N23" i="12"/>
  <c r="O23" i="12"/>
  <c r="N24" i="12"/>
  <c r="P26" i="12"/>
  <c r="S26" i="12"/>
  <c r="T26" i="12"/>
  <c r="J27" i="12"/>
  <c r="P27" i="12"/>
  <c r="S27" i="12"/>
  <c r="T27" i="12"/>
  <c r="J28" i="12"/>
  <c r="N25" i="12"/>
  <c r="O24" i="12"/>
  <c r="J29" i="12"/>
  <c r="P28" i="12"/>
  <c r="S28" i="12"/>
  <c r="T28" i="12"/>
  <c r="O25" i="12"/>
  <c r="N26" i="12"/>
  <c r="O26" i="12"/>
  <c r="N27" i="12"/>
  <c r="J30" i="12"/>
  <c r="P29" i="12"/>
  <c r="S29" i="12"/>
  <c r="T29" i="12"/>
  <c r="O27" i="12"/>
  <c r="N28" i="12"/>
  <c r="J31" i="12"/>
  <c r="P30" i="12"/>
  <c r="S30" i="12"/>
  <c r="T30" i="12"/>
  <c r="J32" i="12"/>
  <c r="P31" i="12"/>
  <c r="S31" i="12"/>
  <c r="T31" i="12"/>
  <c r="N29" i="12"/>
  <c r="O28" i="12"/>
  <c r="O29" i="12"/>
  <c r="N30" i="12"/>
  <c r="J33" i="12"/>
  <c r="P32" i="12"/>
  <c r="S32" i="12"/>
  <c r="T32" i="12"/>
  <c r="P33" i="12"/>
  <c r="S33" i="12"/>
  <c r="T33" i="12"/>
  <c r="J34" i="12"/>
  <c r="O30" i="12"/>
  <c r="N31" i="12"/>
  <c r="N32" i="12"/>
  <c r="O31" i="12"/>
  <c r="J35" i="12"/>
  <c r="P34" i="12"/>
  <c r="S34" i="12"/>
  <c r="T34" i="12"/>
  <c r="J36" i="12"/>
  <c r="P36" i="12"/>
  <c r="S36" i="12"/>
  <c r="T36" i="12"/>
  <c r="P35" i="12"/>
  <c r="S35" i="12"/>
  <c r="T35" i="12"/>
  <c r="N33" i="12"/>
  <c r="O32" i="12"/>
  <c r="T37" i="12"/>
  <c r="B46" i="11"/>
  <c r="O33" i="12"/>
  <c r="N34" i="12"/>
  <c r="O34" i="12"/>
  <c r="N35" i="12"/>
  <c r="O35" i="12"/>
  <c r="N36" i="12"/>
  <c r="O36" i="12"/>
</calcChain>
</file>

<file path=xl/sharedStrings.xml><?xml version="1.0" encoding="utf-8"?>
<sst xmlns="http://schemas.openxmlformats.org/spreadsheetml/2006/main" count="293" uniqueCount="239">
  <si>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</si>
  <si>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</si>
  <si>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</si>
  <si>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</si>
  <si>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</si>
  <si>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</si>
  <si>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</si>
  <si>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</si>
  <si>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</si>
  <si>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</si>
  <si>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</si>
  <si>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</si>
  <si>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</si>
  <si>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</si>
  <si>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</si>
  <si>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</si>
  <si>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</si>
  <si>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</si>
  <si>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</si>
  <si>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</si>
  <si>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</si>
  <si>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</si>
  <si>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</si>
  <si>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</si>
  <si>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</si>
  <si>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</si>
  <si>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</si>
  <si>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</si>
  <si>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</si>
  <si>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</si>
  <si>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</si>
  <si>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</si>
  <si>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</si>
  <si>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</si>
  <si>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</si>
  <si>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</si>
  <si>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</si>
  <si>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</si>
  <si>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</si>
  <si>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</si>
  <si>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</si>
  <si>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</si>
  <si>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</si>
  <si>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</si>
  <si>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</si>
  <si>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</si>
  <si>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</si>
  <si>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</si>
  <si>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</si>
  <si>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1008 Turn Lanes</t>
  </si>
  <si>
    <t>Data entered by the sponsors</t>
  </si>
  <si>
    <t>County</t>
  </si>
  <si>
    <t>Liberty</t>
  </si>
  <si>
    <t>HGAC regional travel demand model data provided by HGAC</t>
  </si>
  <si>
    <t>Facility Type</t>
  </si>
  <si>
    <t>Non Freeway</t>
  </si>
  <si>
    <t>Data populated/calculated based on inputs</t>
  </si>
  <si>
    <t>Street Name:</t>
  </si>
  <si>
    <t>FM 1008</t>
  </si>
  <si>
    <t>Benefits calculated by the template</t>
  </si>
  <si>
    <t>Limits (From)</t>
  </si>
  <si>
    <t>CR 632</t>
  </si>
  <si>
    <t>Limits (To)</t>
  </si>
  <si>
    <t>N Winfree St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</si>
  <si>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</si>
  <si>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</si>
  <si>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</si>
  <si>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</si>
  <si>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</si>
  <si>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</si>
  <si>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</si>
  <si>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</si>
  <si>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</si>
  <si>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</si>
  <si>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</si>
  <si>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</si>
  <si>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</si>
  <si>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</si>
  <si>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</si>
  <si>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</si>
  <si>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</si>
  <si>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</si>
  <si>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</si>
  <si>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</si>
  <si>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</si>
  <si>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</si>
  <si>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</si>
  <si>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</si>
  <si>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</si>
  <si>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</si>
  <si>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</si>
  <si>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</si>
  <si>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</si>
  <si>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                     3,866 </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</si>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</sst>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5" sqref="B15"/>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3.53</v>
      </c>
    </row>
    <row r="13" spans="1:7">
      <c r="A13" s="7" t="s">
        <v>65</v>
      </c>
      <c r="B13" s="116">
        <v>258</v>
      </c>
      <c r="F13" s="99"/>
    </row>
    <row r="14" spans="1:7">
      <c r="A14" s="7" t="s">
        <v>66</v>
      </c>
      <c r="B14" s="116" t="s">
        <v>67</v>
      </c>
    </row>
    <row r="17" spans="1:7">
      <c r="A17" s="98" t="s">
        <v>68</v>
      </c>
      <c r="E17" s="130" t="s">
        <v>69</v>
      </c>
      <c r="F17" s="131"/>
    </row>
    <row r="18" spans="1:7">
      <c r="A18" s="7" t="s">
        <v>70</v>
      </c>
      <c r="B18" s="117">
        <v>2023</v>
      </c>
      <c r="E18" s="87" t="s">
        <v>71</v>
      </c>
      <c r="F18" s="122">
        <f>$B$12/$B$32</f>
        <v>6.537037037037037E-2</v>
      </c>
    </row>
    <row r="19" spans="1:7" ht="30">
      <c r="A19" s="7" t="s">
        <v>72</v>
      </c>
      <c r="B19" s="118" t="s">
        <v>73</v>
      </c>
      <c r="E19" s="89" t="s">
        <v>74</v>
      </c>
      <c r="F19" s="123">
        <f>$B$12/$B$33</f>
        <v>7.8444444444444442E-2</v>
      </c>
    </row>
    <row r="20" spans="1:7" ht="30">
      <c r="A20" s="113" t="s">
        <v>75</v>
      </c>
      <c r="B20" s="114">
        <f>VLOOKUP(B19,'Delay Reduction Factors'!B4:C80,2, FALSE)</f>
        <v>0.4</v>
      </c>
      <c r="E20" s="89" t="s">
        <v>76</v>
      </c>
      <c r="F20" s="122">
        <f>$F$19-$F$18</f>
        <v>1.3074074074074071E-2</v>
      </c>
    </row>
    <row r="21" spans="1:7">
      <c r="A21" s="7" t="s">
        <v>77</v>
      </c>
      <c r="B21" s="63">
        <v>20</v>
      </c>
      <c r="D21" s="100"/>
      <c r="E21" s="87" t="s">
        <v>78</v>
      </c>
      <c r="F21" s="122">
        <f>$F$20*$B$20</f>
        <v>5.2296296296296292E-3</v>
      </c>
      <c r="G21" s="101"/>
    </row>
    <row r="22" spans="1:7">
      <c r="D22" s="100"/>
      <c r="E22" s="87" t="s">
        <v>79</v>
      </c>
      <c r="F22" s="122">
        <f>$F$20-$F$21</f>
        <v>7.8444444444444421E-3</v>
      </c>
      <c r="G22" s="101"/>
    </row>
    <row r="23" spans="1:7">
      <c r="E23" s="87" t="s">
        <v>80</v>
      </c>
      <c r="F23" s="122">
        <f>$F$18+$F$22</f>
        <v>7.3214814814814816E-2</v>
      </c>
    </row>
    <row r="24" spans="1:7">
      <c r="A24" s="98" t="s">
        <v>81</v>
      </c>
      <c r="B24" s="102"/>
      <c r="D24" s="100"/>
    </row>
    <row r="25" spans="1:7">
      <c r="A25" s="7" t="s">
        <v>82</v>
      </c>
      <c r="B25" s="127">
        <v>7761</v>
      </c>
      <c r="D25" s="100"/>
    </row>
    <row r="28" spans="1:7">
      <c r="A28" s="87" t="s">
        <v>83</v>
      </c>
      <c r="B28" s="112">
        <f>IF(FacilityType='Delay Reduction Factors'!N5,'Inputs &amp; Outputs'!B25*45%, B25*43%)</f>
        <v>3337.23</v>
      </c>
      <c r="D28" s="100"/>
      <c r="E28" s="103" t="s">
        <v>84</v>
      </c>
      <c r="F28" s="104" t="s">
        <v>2</v>
      </c>
      <c r="G28" s="105" t="s">
        <v>85</v>
      </c>
    </row>
    <row r="29" spans="1:7">
      <c r="A29" s="87" t="s">
        <v>86</v>
      </c>
      <c r="B29" s="95">
        <f>VLOOKUP(Year_Open_to_Traffic?,Calculations!H4:I36,2)</f>
        <v>3910.5769025284999</v>
      </c>
      <c r="D29" s="100"/>
      <c r="E29" s="89" t="s">
        <v>87</v>
      </c>
      <c r="F29" s="83">
        <f>$B$29*$F$23</f>
        <v>286.31216373771628</v>
      </c>
      <c r="G29" s="84">
        <f>$B$29*$F$19</f>
        <v>306.76303257612454</v>
      </c>
    </row>
    <row r="30" spans="1:7">
      <c r="B30" s="82"/>
      <c r="D30" s="100"/>
    </row>
    <row r="32" spans="1:7">
      <c r="A32" s="106" t="s">
        <v>88</v>
      </c>
      <c r="B32" s="119">
        <v>54</v>
      </c>
      <c r="D32" s="100"/>
    </row>
    <row r="33" spans="1:7" ht="30">
      <c r="A33" s="107" t="s">
        <v>89</v>
      </c>
      <c r="B33" s="120">
        <v>45</v>
      </c>
      <c r="D33" s="100"/>
      <c r="E33" s="100"/>
      <c r="F33" s="108"/>
    </row>
    <row r="34" spans="1:7">
      <c r="A34" s="109"/>
      <c r="B34" s="121"/>
      <c r="F34" s="108"/>
      <c r="G34" s="108"/>
    </row>
    <row r="35" spans="1:7">
      <c r="A35" s="87" t="s">
        <v>90</v>
      </c>
      <c r="B35" s="125">
        <f>$B$28</f>
        <v>3337.23</v>
      </c>
    </row>
    <row r="36" spans="1:7">
      <c r="A36" s="106" t="s">
        <v>91</v>
      </c>
      <c r="B36" s="119">
        <v>10465</v>
      </c>
    </row>
    <row r="37" spans="1:7">
      <c r="A37" s="106" t="s">
        <v>92</v>
      </c>
      <c r="B37" s="119" t="s">
        <v>93</v>
      </c>
    </row>
    <row r="38" spans="1:7">
      <c r="A38" s="106" t="s">
        <v>94</v>
      </c>
      <c r="B38" s="119">
        <v>10465</v>
      </c>
    </row>
    <row r="39" spans="1:7">
      <c r="A39" s="106" t="s">
        <v>95</v>
      </c>
      <c r="B39" s="119">
        <v>7856</v>
      </c>
    </row>
    <row r="40" spans="1:7">
      <c r="A40" s="106" t="s">
        <v>96</v>
      </c>
      <c r="B40" s="119">
        <v>10465</v>
      </c>
      <c r="G40" s="110"/>
    </row>
    <row r="42" spans="1:7" ht="18.75">
      <c r="A42" s="96" t="s">
        <v>97</v>
      </c>
      <c r="B42" s="94"/>
    </row>
    <row r="43" spans="1:7">
      <c r="C43" s="97"/>
      <c r="D43" s="97"/>
      <c r="E43" s="97"/>
      <c r="F43" s="97"/>
      <c r="G43" s="97"/>
    </row>
    <row r="44" spans="1:7" hidden="1">
      <c r="A44" s="111" t="s">
        <v>98</v>
      </c>
    </row>
    <row r="45" spans="1:7">
      <c r="A45" s="111" t="s">
        <v>98</v>
      </c>
    </row>
    <row r="46" spans="1:7">
      <c r="A46" s="88" t="s">
        <v>99</v>
      </c>
      <c r="B46" s="40">
        <f>Calculations!$T$37</f>
        <v>1851.9071935083098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100</v>
      </c>
      <c r="J3" s="80" t="s">
        <v>101</v>
      </c>
      <c r="K3" s="80" t="s">
        <v>102</v>
      </c>
      <c r="L3" s="15" t="s">
        <v>103</v>
      </c>
      <c r="M3" s="45" t="s">
        <v>104</v>
      </c>
      <c r="N3" s="46" t="s">
        <v>105</v>
      </c>
      <c r="O3" s="15" t="s">
        <v>106</v>
      </c>
      <c r="P3" s="15" t="s">
        <v>4</v>
      </c>
      <c r="Q3" s="15" t="s">
        <v>107</v>
      </c>
      <c r="R3" s="15" t="s">
        <v>108</v>
      </c>
      <c r="S3" s="15" t="s">
        <v>109</v>
      </c>
      <c r="T3" s="15" t="s">
        <v>110</v>
      </c>
    </row>
    <row r="4" spans="1:24">
      <c r="A4" s="17" t="s">
        <v>20</v>
      </c>
      <c r="B4" s="17">
        <v>2018</v>
      </c>
      <c r="D4" s="17" t="s">
        <v>111</v>
      </c>
      <c r="E4" s="78">
        <f>'Inputs &amp; Outputs'!F29*Annual_Days_of_Travel</f>
        <v>74441.162571806228</v>
      </c>
      <c r="F4" s="21">
        <f>'Inputs &amp; Outputs'!G29*Annual_Days_of_Travel</f>
        <v>79758.388469792379</v>
      </c>
      <c r="H4" s="49">
        <v>2018</v>
      </c>
      <c r="I4" s="50">
        <f>'Inputs &amp; Outputs'!B28</f>
        <v>3337.23</v>
      </c>
      <c r="J4" s="50">
        <f>IF(H4=Year_Open_to_Traffic?,$F$4,0)</f>
        <v>0</v>
      </c>
      <c r="K4" s="50">
        <f>IF(H4=Year_Open_to_Traffic?,Calculations!$E$4,0)</f>
        <v>0</v>
      </c>
      <c r="L4" s="50">
        <f>IF(AND(H4&gt;=Year_Open_to_Traffic?, Calculations!H4&lt;Year_Open_to_Traffic?+'Inputs &amp; Outputs'!B$21), 1, 0)</f>
        <v>0</v>
      </c>
      <c r="M4" s="65" t="s">
        <v>112</v>
      </c>
      <c r="N4" s="66">
        <f>MIN(E8,1)</f>
        <v>0.3188944099378882</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113</v>
      </c>
      <c r="E5" s="39" t="e">
        <f>(_2025_PeakVolume/_2018_PeakVolume)^(1/(2025-2018))-1</f>
        <v>#VALUE!</v>
      </c>
      <c r="F5" s="26"/>
      <c r="H5" s="14">
        <f t="shared" ref="H5:H36" si="3">H4+1</f>
        <v>2019</v>
      </c>
      <c r="I5" s="79">
        <f>(I4*M5)+I4</f>
        <v>3444.7449915904986</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3.221683599587033E-2</v>
      </c>
      <c r="N5" s="71">
        <f t="shared" ref="N5:N11" si="6">N4*(1+IFERROR(_2018_2025_V_C_Growth,_2018_2045_V_C_Growth))</f>
        <v>0.32916817884285698</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114</v>
      </c>
      <c r="B6" s="19">
        <f>'Assumed Values'!C9</f>
        <v>17.728589999999997</v>
      </c>
      <c r="D6" s="17" t="s">
        <v>115</v>
      </c>
      <c r="E6" s="39" t="e">
        <f>(_2045_PeakVolume/_2025_PeakVolume)^(1/(2045-2025))-1</f>
        <v>#VALUE!</v>
      </c>
      <c r="F6" s="26"/>
      <c r="H6" s="49">
        <f t="shared" si="3"/>
        <v>2020</v>
      </c>
      <c r="I6" s="79">
        <f t="shared" ref="I6:I36" si="10">(I5*M6)+I5</f>
        <v>3555.7237760321655</v>
      </c>
      <c r="J6" s="50">
        <f t="shared" si="4"/>
        <v>0</v>
      </c>
      <c r="K6" s="50">
        <f>IF(H6=Year_Open_to_Traffic?,Calculations!$E$4,K5+(K5*M6))</f>
        <v>0</v>
      </c>
      <c r="L6" s="50">
        <f>IF(AND(H6&gt;=Year_Open_to_Traffic?, Calculations!H6&lt;Year_Open_to_Traffic?+'Inputs &amp; Outputs'!B$21), 1, 0)</f>
        <v>0</v>
      </c>
      <c r="M6" s="65">
        <f t="shared" si="5"/>
        <v>3.221683599587033E-2</v>
      </c>
      <c r="N6" s="71">
        <f t="shared" si="6"/>
        <v>0.33977293607569664</v>
      </c>
      <c r="O6" s="72">
        <f t="shared" si="7"/>
        <v>1</v>
      </c>
      <c r="P6" s="68">
        <f>(J6-K6)*L6</f>
        <v>0</v>
      </c>
      <c r="Q6" s="69">
        <f t="shared" si="0"/>
        <v>0</v>
      </c>
      <c r="R6" s="70">
        <f t="shared" si="1"/>
        <v>18.553483564109992</v>
      </c>
      <c r="S6" s="77">
        <f t="shared" si="2"/>
        <v>0</v>
      </c>
      <c r="T6" s="64">
        <f t="shared" si="9"/>
        <v>0</v>
      </c>
    </row>
    <row r="7" spans="1:24">
      <c r="A7" s="17" t="s">
        <v>116</v>
      </c>
      <c r="B7" s="48">
        <f>'Assumed Values'!C10</f>
        <v>2.3E-2</v>
      </c>
      <c r="D7" s="17" t="s">
        <v>117</v>
      </c>
      <c r="E7" s="39">
        <f>(_2045_PeakVolume/_2018_PeakVolume)^(1/(2045-2018))-1</f>
        <v>3.221683599587033E-2</v>
      </c>
      <c r="F7" s="26"/>
      <c r="H7" s="14">
        <f t="shared" si="3"/>
        <v>2021</v>
      </c>
      <c r="I7" s="79">
        <f t="shared" si="10"/>
        <v>3670.2779457712104</v>
      </c>
      <c r="J7" s="50">
        <f t="shared" si="4"/>
        <v>0</v>
      </c>
      <c r="K7" s="50">
        <f>IF(H7=Year_Open_to_Traffic?,Calculations!$E$4,K6+(K6*M7))</f>
        <v>0</v>
      </c>
      <c r="L7" s="50">
        <f>IF(AND(H7&gt;=Year_Open_to_Traffic?, Calculations!H7&lt;Year_Open_to_Traffic?+'Inputs &amp; Outputs'!B$21), 1, 0)</f>
        <v>0</v>
      </c>
      <c r="M7" s="65">
        <f t="shared" si="5"/>
        <v>3.221683599587033E-2</v>
      </c>
      <c r="N7" s="71">
        <f t="shared" si="6"/>
        <v>0.35071934503308272</v>
      </c>
      <c r="O7" s="72">
        <f t="shared" si="7"/>
        <v>1</v>
      </c>
      <c r="P7" s="68">
        <f t="shared" si="8"/>
        <v>0</v>
      </c>
      <c r="Q7" s="69">
        <f t="shared" si="0"/>
        <v>0</v>
      </c>
      <c r="R7" s="70">
        <f t="shared" si="1"/>
        <v>18.980213686084522</v>
      </c>
      <c r="S7" s="77">
        <f t="shared" si="2"/>
        <v>0</v>
      </c>
      <c r="T7" s="64">
        <f t="shared" si="9"/>
        <v>0</v>
      </c>
    </row>
    <row r="8" spans="1:24">
      <c r="A8" s="17" t="s">
        <v>26</v>
      </c>
      <c r="B8" s="17">
        <v>260</v>
      </c>
      <c r="D8" s="17" t="s">
        <v>118</v>
      </c>
      <c r="E8" s="22">
        <f>_2018_PeakVolume/_2018_Capacity</f>
        <v>0.3188944099378882</v>
      </c>
      <c r="F8" s="26"/>
      <c r="H8" s="49">
        <f t="shared" si="3"/>
        <v>2022</v>
      </c>
      <c r="I8" s="79">
        <f t="shared" si="10"/>
        <v>3788.5226884093813</v>
      </c>
      <c r="J8" s="50">
        <f t="shared" si="4"/>
        <v>0</v>
      </c>
      <c r="K8" s="50">
        <f>IF(H8=Year_Open_to_Traffic?,Calculations!$E$4,K7+(K7*M8))</f>
        <v>0</v>
      </c>
      <c r="L8" s="50">
        <f>IF(AND(H8&gt;=Year_Open_to_Traffic?, Calculations!H8&lt;Year_Open_to_Traffic?+'Inputs &amp; Outputs'!B$21), 1, 0)</f>
        <v>0</v>
      </c>
      <c r="M8" s="65">
        <f t="shared" si="5"/>
        <v>3.221683599587033E-2</v>
      </c>
      <c r="N8" s="71">
        <f t="shared" si="6"/>
        <v>0.3620184126525926</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119</v>
      </c>
      <c r="B9" s="17">
        <f>'Inputs &amp; Outputs'!B21</f>
        <v>20</v>
      </c>
      <c r="D9" s="17" t="s">
        <v>120</v>
      </c>
      <c r="E9" s="22" t="e">
        <f>_2025_PeakVolume/_2025_Capacity</f>
        <v>#VALUE!</v>
      </c>
      <c r="F9" s="26"/>
      <c r="H9" s="14">
        <f t="shared" si="3"/>
        <v>2023</v>
      </c>
      <c r="I9" s="79">
        <f t="shared" si="10"/>
        <v>3910.5769025284999</v>
      </c>
      <c r="J9" s="50">
        <f t="shared" si="4"/>
        <v>79758.388469792379</v>
      </c>
      <c r="K9" s="50">
        <f>IF(H9=Year_Open_to_Traffic?,Calculations!$E$4,K8+(K8*M9))</f>
        <v>74441.162571806228</v>
      </c>
      <c r="L9" s="50">
        <f>IF(AND(H9&gt;=Year_Open_to_Traffic?, Calculations!H9&lt;Year_Open_to_Traffic?+'Inputs &amp; Outputs'!B$21), 1, 0)</f>
        <v>1</v>
      </c>
      <c r="M9" s="65">
        <f t="shared" si="5"/>
        <v>3.221683599587033E-2</v>
      </c>
      <c r="N9" s="71">
        <f t="shared" si="6"/>
        <v>0.37368150048050647</v>
      </c>
      <c r="O9" s="72">
        <f t="shared" si="7"/>
        <v>1</v>
      </c>
      <c r="P9" s="68">
        <f t="shared" si="8"/>
        <v>5317.2258979861508</v>
      </c>
      <c r="Q9" s="69">
        <f t="shared" si="0"/>
        <v>1</v>
      </c>
      <c r="R9" s="70">
        <f t="shared" si="1"/>
        <v>19.863344048684343</v>
      </c>
      <c r="S9" s="77">
        <f t="shared" si="2"/>
        <v>146.80886348082012</v>
      </c>
      <c r="T9" s="64">
        <f t="shared" si="9"/>
        <v>104.67269068752938</v>
      </c>
      <c r="W9" s="58"/>
    </row>
    <row r="10" spans="1:24">
      <c r="D10" s="17" t="s">
        <v>121</v>
      </c>
      <c r="E10" s="22">
        <f>_2045_PeakVolume/_2045_Capacity</f>
        <v>0.7506927854753942</v>
      </c>
      <c r="F10" s="26"/>
      <c r="H10" s="49">
        <f t="shared" si="3"/>
        <v>2024</v>
      </c>
      <c r="I10" s="79">
        <f t="shared" si="10"/>
        <v>4036.5633172464991</v>
      </c>
      <c r="J10" s="50">
        <f t="shared" si="4"/>
        <v>82327.951390418588</v>
      </c>
      <c r="K10" s="50">
        <f>IF(H10=Year_Open_to_Traffic?,Calculations!$E$4,K9+(K9*M10))</f>
        <v>76839.421297724024</v>
      </c>
      <c r="L10" s="50">
        <f>IF(AND(H10&gt;=Year_Open_to_Traffic?, Calculations!H10&lt;Year_Open_to_Traffic?+'Inputs &amp; Outputs'!B$21), 1, 0)</f>
        <v>1</v>
      </c>
      <c r="M10" s="65">
        <f t="shared" si="5"/>
        <v>3.221683599587033E-2</v>
      </c>
      <c r="N10" s="71">
        <f t="shared" si="6"/>
        <v>0.38572033609617767</v>
      </c>
      <c r="O10" s="72">
        <f t="shared" si="7"/>
        <v>1</v>
      </c>
      <c r="P10" s="68">
        <f>(J10-K10)*L10</f>
        <v>5488.5300926945638</v>
      </c>
      <c r="Q10" s="69">
        <f t="shared" si="0"/>
        <v>1</v>
      </c>
      <c r="R10" s="70">
        <f t="shared" si="1"/>
        <v>20.320200961804083</v>
      </c>
      <c r="S10" s="77">
        <f t="shared" si="2"/>
        <v>155.0239679111632</v>
      </c>
      <c r="T10" s="64">
        <f t="shared" si="9"/>
        <v>103.29901552278416</v>
      </c>
      <c r="W10" s="58"/>
    </row>
    <row r="11" spans="1:24" ht="30" customHeight="1">
      <c r="A11" s="132" t="s">
        <v>122</v>
      </c>
      <c r="B11" s="133"/>
      <c r="D11" s="17" t="s">
        <v>123</v>
      </c>
      <c r="E11" s="39" t="e">
        <f>(E9/E8)^(1/(2025-2018))-1</f>
        <v>#VALUE!</v>
      </c>
      <c r="F11" s="26"/>
      <c r="H11" s="14">
        <f t="shared" si="3"/>
        <v>2025</v>
      </c>
      <c r="I11" s="79">
        <f t="shared" si="10"/>
        <v>4166.6086156251758</v>
      </c>
      <c r="J11" s="50">
        <f t="shared" si="4"/>
        <v>84980.297498239685</v>
      </c>
      <c r="K11" s="50">
        <f>IF(H11=Year_Open_to_Traffic?,Calculations!$E$4,K10+(K10*M11))</f>
        <v>79314.944331690378</v>
      </c>
      <c r="L11" s="50">
        <f>IF(AND(H11&gt;=Year_Open_to_Traffic?, Calculations!H11&lt;Year_Open_to_Traffic?+'Inputs &amp; Outputs'!B$21), 1, 0)</f>
        <v>1</v>
      </c>
      <c r="M11" s="65">
        <f t="shared" si="5"/>
        <v>3.221683599587033E-2</v>
      </c>
      <c r="N11" s="71">
        <f t="shared" si="6"/>
        <v>0.39814702490446019</v>
      </c>
      <c r="O11" s="72">
        <f t="shared" si="7"/>
        <v>1</v>
      </c>
      <c r="P11" s="68">
        <f t="shared" si="8"/>
        <v>5665.3531665493065</v>
      </c>
      <c r="Q11" s="69">
        <f t="shared" si="0"/>
        <v>1</v>
      </c>
      <c r="R11" s="70">
        <f t="shared" si="1"/>
        <v>20.787565583925574</v>
      </c>
      <c r="S11" s="77">
        <f t="shared" si="2"/>
        <v>163.69877170298435</v>
      </c>
      <c r="T11" s="64">
        <f t="shared" si="9"/>
        <v>101.94336782485811</v>
      </c>
      <c r="W11" s="58"/>
    </row>
    <row r="12" spans="1:24">
      <c r="A12" s="17" t="s">
        <v>124</v>
      </c>
      <c r="B12" s="18">
        <v>0.45</v>
      </c>
      <c r="D12" s="17" t="s">
        <v>125</v>
      </c>
      <c r="E12" s="39" t="e">
        <f>(E10/E9)^(1/(2045-2025))-1</f>
        <v>#VALUE!</v>
      </c>
      <c r="F12" s="26"/>
      <c r="H12" s="49">
        <v>2026</v>
      </c>
      <c r="I12" s="79">
        <f t="shared" si="10"/>
        <v>4300.8435620537521</v>
      </c>
      <c r="J12" s="50">
        <f t="shared" si="4"/>
        <v>87718.093805620738</v>
      </c>
      <c r="K12" s="50">
        <f>IF(H12=Year_Open_to_Traffic?,Calculations!$E$4,K11+(K11*M12))</f>
        <v>81870.220885246032</v>
      </c>
      <c r="L12" s="50">
        <f>IF(AND(H12&gt;=Year_Open_to_Traffic?, Calculations!H12&lt;Year_Open_to_Traffic?+'Inputs &amp; Outputs'!B$21), 1, 0)</f>
        <v>1</v>
      </c>
      <c r="M12" s="65">
        <f t="shared" ref="M12:M36" si="11">IFERROR(_2025_2045_Demand_Growth,_2018_2045_Demand_Growth)</f>
        <v>3.221683599587033E-2</v>
      </c>
      <c r="N12" s="71">
        <f t="shared" ref="N12:N36" si="12">N11*(1+IFERROR(_2025_2045_V_C_Growth,_2018_2045_V_C_Growth))</f>
        <v>0.41097406230805089</v>
      </c>
      <c r="O12" s="72">
        <f t="shared" si="7"/>
        <v>1</v>
      </c>
      <c r="P12" s="68">
        <f t="shared" si="8"/>
        <v>5847.8729203747062</v>
      </c>
      <c r="Q12" s="69">
        <f t="shared" si="0"/>
        <v>1</v>
      </c>
      <c r="R12" s="70">
        <f t="shared" si="1"/>
        <v>21.265679592355859</v>
      </c>
      <c r="S12" s="77">
        <f t="shared" si="2"/>
        <v>172.85899863188894</v>
      </c>
      <c r="T12" s="64">
        <f t="shared" si="9"/>
        <v>100.60551100975488</v>
      </c>
      <c r="W12" s="58"/>
    </row>
    <row r="13" spans="1:24">
      <c r="A13" s="17" t="s">
        <v>55</v>
      </c>
      <c r="B13" s="18">
        <v>0.43</v>
      </c>
      <c r="D13" s="17" t="s">
        <v>126</v>
      </c>
      <c r="E13" s="39">
        <f>(E10/E8)^(1/(2045-2018))-1</f>
        <v>3.221683599587033E-2</v>
      </c>
      <c r="F13" s="26"/>
      <c r="H13" s="14">
        <f t="shared" si="3"/>
        <v>2027</v>
      </c>
      <c r="I13" s="79">
        <f t="shared" si="10"/>
        <v>4439.4031337363322</v>
      </c>
      <c r="J13" s="50">
        <f t="shared" si="4"/>
        <v>90544.093247626792</v>
      </c>
      <c r="K13" s="50">
        <f>IF(H13=Year_Open_to_Traffic?,Calculations!$E$4,K12+(K12*M13))</f>
        <v>84507.820364451676</v>
      </c>
      <c r="L13" s="50">
        <f>IF(AND(H13&gt;=Year_Open_to_Traffic?, Calculations!H13&lt;Year_Open_to_Traffic?+'Inputs &amp; Outputs'!B$21), 1, 0)</f>
        <v>1</v>
      </c>
      <c r="M13" s="65">
        <f t="shared" si="11"/>
        <v>3.221683599587033E-2</v>
      </c>
      <c r="N13" s="71">
        <f t="shared" si="12"/>
        <v>0.42421434627198595</v>
      </c>
      <c r="O13" s="72">
        <f t="shared" si="7"/>
        <v>1</v>
      </c>
      <c r="P13" s="68">
        <f t="shared" si="8"/>
        <v>6036.2728831751156</v>
      </c>
      <c r="Q13" s="69">
        <f t="shared" si="0"/>
        <v>1</v>
      </c>
      <c r="R13" s="70">
        <f t="shared" si="1"/>
        <v>21.754790222980041</v>
      </c>
      <c r="S13" s="77">
        <f t="shared" si="2"/>
        <v>182.5318119199712</v>
      </c>
      <c r="T13" s="64">
        <f t="shared" si="9"/>
        <v>99.285211598295732</v>
      </c>
      <c r="W13" s="58"/>
    </row>
    <row r="14" spans="1:24">
      <c r="H14" s="49">
        <f>H13+1</f>
        <v>2028</v>
      </c>
      <c r="I14" s="79">
        <f t="shared" si="10"/>
        <v>4582.4266564154686</v>
      </c>
      <c r="J14" s="50">
        <f t="shared" si="4"/>
        <v>93461.13745018038</v>
      </c>
      <c r="K14" s="50">
        <f>IF(H14=Year_Open_to_Traffic?,Calculations!$E$4,K13+(K13*M14))</f>
        <v>87230.394953501687</v>
      </c>
      <c r="L14" s="50">
        <f>IF(AND(H14&gt;=Year_Open_to_Traffic?, Calculations!H14&lt;Year_Open_to_Traffic?+'Inputs &amp; Outputs'!B$21), 1, 0)</f>
        <v>1</v>
      </c>
      <c r="M14" s="65">
        <f t="shared" si="11"/>
        <v>3.221683599587033E-2</v>
      </c>
      <c r="N14" s="71">
        <f t="shared" si="12"/>
        <v>0.43788119029292588</v>
      </c>
      <c r="O14" s="72">
        <f t="shared" si="7"/>
        <v>1</v>
      </c>
      <c r="P14" s="68">
        <f t="shared" si="8"/>
        <v>6230.742496678693</v>
      </c>
      <c r="Q14" s="69">
        <f t="shared" si="0"/>
        <v>1</v>
      </c>
      <c r="R14" s="70">
        <f t="shared" si="1"/>
        <v>22.255150398108579</v>
      </c>
      <c r="S14" s="77">
        <f t="shared" si="2"/>
        <v>192.74589478410445</v>
      </c>
      <c r="T14" s="64">
        <f t="shared" si="9"/>
        <v>97.9822391753723</v>
      </c>
      <c r="W14" s="58"/>
    </row>
    <row r="15" spans="1:24">
      <c r="H15" s="14">
        <f t="shared" si="3"/>
        <v>2029</v>
      </c>
      <c r="I15" s="79">
        <f t="shared" si="10"/>
        <v>4730.0579444683099</v>
      </c>
      <c r="J15" s="50">
        <f t="shared" si="4"/>
        <v>96472.15958740034</v>
      </c>
      <c r="K15" s="50">
        <f>IF(H15=Year_Open_to_Traffic?,Calculations!$E$4,K14+(K14*M15))</f>
        <v>90040.682281573652</v>
      </c>
      <c r="L15" s="50">
        <f>IF(AND(H15&gt;=Year_Open_to_Traffic?, Calculations!H15&lt;Year_Open_to_Traffic?+'Inputs &amp; Outputs'!B$21), 1, 0)</f>
        <v>1</v>
      </c>
      <c r="M15" s="65">
        <f t="shared" si="11"/>
        <v>3.221683599587033E-2</v>
      </c>
      <c r="N15" s="71">
        <f t="shared" si="12"/>
        <v>0.45198833678626954</v>
      </c>
      <c r="O15" s="72">
        <f t="shared" si="7"/>
        <v>1</v>
      </c>
      <c r="P15" s="68">
        <f t="shared" si="8"/>
        <v>6431.4773058266874</v>
      </c>
      <c r="Q15" s="69">
        <f t="shared" si="0"/>
        <v>1</v>
      </c>
      <c r="R15" s="70">
        <f t="shared" si="1"/>
        <v>22.767018857265079</v>
      </c>
      <c r="S15" s="77">
        <f t="shared" si="2"/>
        <v>203.53153549154172</v>
      </c>
      <c r="T15" s="64">
        <f t="shared" si="9"/>
        <v>96.696366349735897</v>
      </c>
      <c r="W15" s="58"/>
    </row>
    <row r="16" spans="1:24">
      <c r="H16" s="49">
        <f t="shared" si="3"/>
        <v>2030</v>
      </c>
      <c r="I16" s="79">
        <f t="shared" si="10"/>
        <v>4882.4454455162086</v>
      </c>
      <c r="J16" s="50">
        <f t="shared" si="4"/>
        <v>99580.187330995046</v>
      </c>
      <c r="K16" s="50">
        <f>IF(H16=Year_Open_to_Traffic?,Calculations!$E$4,K15+(K15*M16))</f>
        <v>92941.508175595372</v>
      </c>
      <c r="L16" s="50">
        <f>IF(AND(H16&gt;=Year_Open_to_Traffic?, Calculations!H16&lt;Year_Open_to_Traffic?+'Inputs &amp; Outputs'!B$21), 1, 0)</f>
        <v>1</v>
      </c>
      <c r="M16" s="65">
        <f t="shared" si="11"/>
        <v>3.221683599587033E-2</v>
      </c>
      <c r="N16" s="71">
        <f t="shared" si="12"/>
        <v>0.46654997090455896</v>
      </c>
      <c r="O16" s="72">
        <f t="shared" si="7"/>
        <v>1</v>
      </c>
      <c r="P16" s="68">
        <f t="shared" si="8"/>
        <v>6638.6791553996736</v>
      </c>
      <c r="Q16" s="69">
        <f t="shared" si="0"/>
        <v>1</v>
      </c>
      <c r="R16" s="70">
        <f t="shared" si="1"/>
        <v>23.290660290982171</v>
      </c>
      <c r="S16" s="77">
        <f t="shared" si="2"/>
        <v>214.92071717504115</v>
      </c>
      <c r="T16" s="64">
        <f t="shared" si="9"/>
        <v>95.427368714313971</v>
      </c>
      <c r="W16" s="58"/>
    </row>
    <row r="17" spans="1:23">
      <c r="A17" s="27"/>
      <c r="H17" s="14">
        <f t="shared" si="3"/>
        <v>2031</v>
      </c>
      <c r="I17" s="79">
        <f t="shared" si="10"/>
        <v>5039.7423896931887</v>
      </c>
      <c r="J17" s="50">
        <f t="shared" si="4"/>
        <v>102788.34589467576</v>
      </c>
      <c r="K17" s="50">
        <f>IF(H17=Year_Open_to_Traffic?,Calculations!$E$4,K16+(K16*M17))</f>
        <v>95935.789501697363</v>
      </c>
      <c r="L17" s="50">
        <f>IF(AND(H17&gt;=Year_Open_to_Traffic?, Calculations!H17&lt;Year_Open_to_Traffic?+'Inputs &amp; Outputs'!B$21), 1, 0)</f>
        <v>1</v>
      </c>
      <c r="M17" s="65">
        <f t="shared" si="11"/>
        <v>3.221683599587033E-2</v>
      </c>
      <c r="N17" s="71">
        <f t="shared" si="12"/>
        <v>0.48158073480106922</v>
      </c>
      <c r="O17" s="72">
        <f t="shared" si="7"/>
        <v>1</v>
      </c>
      <c r="P17" s="68">
        <f t="shared" si="8"/>
        <v>6852.5563929783966</v>
      </c>
      <c r="Q17" s="69">
        <f t="shared" si="0"/>
        <v>1</v>
      </c>
      <c r="R17" s="70">
        <f t="shared" si="1"/>
        <v>23.82634547767476</v>
      </c>
      <c r="S17" s="77">
        <f t="shared" si="2"/>
        <v>226.94721267384941</v>
      </c>
      <c r="T17" s="64">
        <f t="shared" si="9"/>
        <v>94.175024807046441</v>
      </c>
      <c r="W17" s="58"/>
    </row>
    <row r="18" spans="1:23">
      <c r="H18" s="49">
        <f t="shared" si="3"/>
        <v>2032</v>
      </c>
      <c r="I18" s="79">
        <f t="shared" si="10"/>
        <v>5202.10694372337</v>
      </c>
      <c r="J18" s="50">
        <f t="shared" si="4"/>
        <v>106099.86117665132</v>
      </c>
      <c r="K18" s="50">
        <f>IF(H18=Year_Open_to_Traffic?,Calculations!$E$4,K17+(K17*M18))</f>
        <v>99026.537098207889</v>
      </c>
      <c r="L18" s="50">
        <f>IF(AND(H18&gt;=Year_Open_to_Traffic?, Calculations!H18&lt;Year_Open_to_Traffic?+'Inputs &amp; Outputs'!B$21), 1, 0)</f>
        <v>1</v>
      </c>
      <c r="M18" s="65">
        <f t="shared" si="11"/>
        <v>3.221683599587033E-2</v>
      </c>
      <c r="N18" s="71">
        <f t="shared" si="12"/>
        <v>0.49709574235292597</v>
      </c>
      <c r="O18" s="72">
        <f t="shared" si="7"/>
        <v>1</v>
      </c>
      <c r="P18" s="68">
        <f t="shared" si="8"/>
        <v>7073.3240784434311</v>
      </c>
      <c r="Q18" s="69">
        <f t="shared" si="0"/>
        <v>1</v>
      </c>
      <c r="R18" s="70">
        <f t="shared" si="1"/>
        <v>24.374351423661277</v>
      </c>
      <c r="S18" s="77">
        <f t="shared" si="2"/>
        <v>239.64668468178107</v>
      </c>
      <c r="T18" s="64">
        <f t="shared" si="9"/>
        <v>92.939116072237155</v>
      </c>
      <c r="W18" s="58"/>
    </row>
    <row r="19" spans="1:23">
      <c r="H19" s="14">
        <f t="shared" si="3"/>
        <v>2033</v>
      </c>
      <c r="I19" s="79">
        <f t="shared" si="10"/>
        <v>5369.7023699622841</v>
      </c>
      <c r="J19" s="50">
        <f t="shared" si="4"/>
        <v>109518.06300336411</v>
      </c>
      <c r="K19" s="50">
        <f>IF(H19=Year_Open_to_Traffic?,Calculations!$E$4,K18+(K18*M19))</f>
        <v>102216.85880313982</v>
      </c>
      <c r="L19" s="50">
        <f>IF(AND(H19&gt;=Year_Open_to_Traffic?, Calculations!H19&lt;Year_Open_to_Traffic?+'Inputs &amp; Outputs'!B$21), 1, 0)</f>
        <v>1</v>
      </c>
      <c r="M19" s="65">
        <f t="shared" si="11"/>
        <v>3.221683599587033E-2</v>
      </c>
      <c r="N19" s="71">
        <f t="shared" si="12"/>
        <v>0.51311059435855555</v>
      </c>
      <c r="O19" s="72">
        <f t="shared" si="7"/>
        <v>1</v>
      </c>
      <c r="P19" s="68">
        <f t="shared" si="8"/>
        <v>7301.2042002242815</v>
      </c>
      <c r="Q19" s="69">
        <f t="shared" si="0"/>
        <v>1</v>
      </c>
      <c r="R19" s="70">
        <f t="shared" si="1"/>
        <v>24.934961506405479</v>
      </c>
      <c r="S19" s="77">
        <f t="shared" si="2"/>
        <v>253.05679149936785</v>
      </c>
      <c r="T19" s="64">
        <f t="shared" si="9"/>
        <v>91.719426822412387</v>
      </c>
      <c r="W19" s="58"/>
    </row>
    <row r="20" spans="1:23">
      <c r="H20" s="49">
        <f t="shared" si="3"/>
        <v>2034</v>
      </c>
      <c r="I20" s="79">
        <f t="shared" si="10"/>
        <v>5542.6971905619957</v>
      </c>
      <c r="J20" s="50">
        <f t="shared" si="4"/>
        <v>113046.38847772888</v>
      </c>
      <c r="K20" s="50">
        <f>IF(H20=Year_Open_to_Traffic?,Calculations!$E$4,K19+(K19*M20))</f>
        <v>105509.96257921362</v>
      </c>
      <c r="L20" s="50">
        <f>IF(AND(H20&gt;=Year_Open_to_Traffic?, Calculations!H20&lt;Year_Open_to_Traffic?+'Inputs &amp; Outputs'!B$21), 1, 0)</f>
        <v>1</v>
      </c>
      <c r="M20" s="65">
        <f t="shared" si="11"/>
        <v>3.221683599587033E-2</v>
      </c>
      <c r="N20" s="71">
        <f t="shared" si="12"/>
        <v>0.52964139422474865</v>
      </c>
      <c r="O20" s="72">
        <f t="shared" si="7"/>
        <v>1</v>
      </c>
      <c r="P20" s="68">
        <f t="shared" si="8"/>
        <v>7536.4258985152555</v>
      </c>
      <c r="Q20" s="69">
        <f t="shared" si="0"/>
        <v>1</v>
      </c>
      <c r="R20" s="70">
        <f t="shared" si="1"/>
        <v>25.508465621052807</v>
      </c>
      <c r="S20" s="77">
        <f t="shared" si="2"/>
        <v>267.21729870366488</v>
      </c>
      <c r="T20" s="64">
        <f t="shared" si="9"/>
        <v>90.515744200679279</v>
      </c>
      <c r="W20" s="58"/>
    </row>
    <row r="21" spans="1:23">
      <c r="H21" s="14">
        <f t="shared" si="3"/>
        <v>2035</v>
      </c>
      <c r="I21" s="79">
        <f t="shared" si="10"/>
        <v>5721.2653569251024</v>
      </c>
      <c r="J21" s="50">
        <f t="shared" si="4"/>
        <v>116688.38543524132</v>
      </c>
      <c r="K21" s="50">
        <f>IF(H21=Year_Open_to_Traffic?,Calculations!$E$4,K20+(K20*M21))</f>
        <v>108909.15973955856</v>
      </c>
      <c r="L21" s="50">
        <f>IF(AND(H21&gt;=Year_Open_to_Traffic?, Calculations!H21&lt;Year_Open_to_Traffic?+'Inputs &amp; Outputs'!B$21), 1, 0)</f>
        <v>1</v>
      </c>
      <c r="M21" s="65">
        <f t="shared" si="11"/>
        <v>3.221683599587033E-2</v>
      </c>
      <c r="N21" s="71">
        <f t="shared" si="12"/>
        <v>0.54670476415911151</v>
      </c>
      <c r="O21" s="72">
        <f t="shared" si="7"/>
        <v>1</v>
      </c>
      <c r="P21" s="68">
        <f t="shared" si="8"/>
        <v>7779.2256956827623</v>
      </c>
      <c r="Q21" s="69">
        <f t="shared" si="0"/>
        <v>1</v>
      </c>
      <c r="R21" s="70">
        <f t="shared" si="1"/>
        <v>26.095160330337016</v>
      </c>
      <c r="S21" s="77">
        <f t="shared" si="2"/>
        <v>282.17019706685971</v>
      </c>
      <c r="T21" s="64">
        <f t="shared" si="9"/>
        <v>89.32785814357895</v>
      </c>
      <c r="W21" s="58"/>
    </row>
    <row r="22" spans="1:23">
      <c r="H22" s="49">
        <f>H21+1</f>
        <v>2036</v>
      </c>
      <c r="I22" s="79">
        <f t="shared" si="10"/>
        <v>5905.5864246180126</v>
      </c>
      <c r="J22" s="50">
        <f t="shared" si="4"/>
        <v>120447.71601143139</v>
      </c>
      <c r="K22" s="50">
        <f>IF(H22=Year_Open_to_Traffic?,Calculations!$E$4,K21+(K21*M22))</f>
        <v>112417.86827733596</v>
      </c>
      <c r="L22" s="50">
        <f>IF(AND(H22&gt;=Year_Open_to_Traffic?, Calculations!H22&lt;Year_Open_to_Traffic?+'Inputs &amp; Outputs'!B$21), 1, 0)</f>
        <v>1</v>
      </c>
      <c r="M22" s="65">
        <f t="shared" si="11"/>
        <v>3.221683599587033E-2</v>
      </c>
      <c r="N22" s="71">
        <f t="shared" si="12"/>
        <v>0.56431786188418653</v>
      </c>
      <c r="O22" s="72">
        <f t="shared" si="7"/>
        <v>1</v>
      </c>
      <c r="P22" s="68">
        <f t="shared" si="8"/>
        <v>8029.8477340954269</v>
      </c>
      <c r="Q22" s="69">
        <f t="shared" si="0"/>
        <v>1</v>
      </c>
      <c r="R22" s="70">
        <f t="shared" si="1"/>
        <v>26.695349017934767</v>
      </c>
      <c r="S22" s="77">
        <f t="shared" si="2"/>
        <v>297.95982707334457</v>
      </c>
      <c r="T22" s="64">
        <f t="shared" si="9"/>
        <v>88.155561344425905</v>
      </c>
      <c r="W22" s="58"/>
    </row>
    <row r="23" spans="1:23">
      <c r="H23" s="14">
        <f t="shared" si="3"/>
        <v>2037</v>
      </c>
      <c r="I23" s="79">
        <f t="shared" si="10"/>
        <v>6095.8457339193692</v>
      </c>
      <c r="J23" s="50">
        <f t="shared" si="4"/>
        <v>124328.16032424883</v>
      </c>
      <c r="K23" s="50">
        <f>IF(H23=Year_Open_to_Traffic?,Calculations!$E$4,K22+(K22*M23))</f>
        <v>116039.61630263225</v>
      </c>
      <c r="L23" s="50">
        <f>IF(AND(H23&gt;=Year_Open_to_Traffic?, Calculations!H23&lt;Year_Open_to_Traffic?+'Inputs &amp; Outputs'!B$21), 1, 0)</f>
        <v>1</v>
      </c>
      <c r="M23" s="65">
        <f t="shared" si="11"/>
        <v>3.221683599587033E-2</v>
      </c>
      <c r="N23" s="71">
        <f t="shared" si="12"/>
        <v>0.58249839789004954</v>
      </c>
      <c r="O23" s="72">
        <f t="shared" si="7"/>
        <v>1</v>
      </c>
      <c r="P23" s="68">
        <f t="shared" si="8"/>
        <v>8288.544021616588</v>
      </c>
      <c r="Q23" s="69">
        <f t="shared" si="0"/>
        <v>1</v>
      </c>
      <c r="R23" s="70">
        <f t="shared" si="1"/>
        <v>27.309342045347261</v>
      </c>
      <c r="S23" s="77">
        <f t="shared" si="2"/>
        <v>314.63301040450136</v>
      </c>
      <c r="T23" s="64">
        <f t="shared" si="9"/>
        <v>86.99864921713079</v>
      </c>
      <c r="W23" s="58"/>
    </row>
    <row r="24" spans="1:23">
      <c r="H24" s="49">
        <f t="shared" si="3"/>
        <v>2038</v>
      </c>
      <c r="I24" s="79">
        <f t="shared" si="10"/>
        <v>6292.2345961851752</v>
      </c>
      <c r="J24" s="50">
        <f t="shared" si="4"/>
        <v>128333.62027508343</v>
      </c>
      <c r="K24" s="50">
        <f>IF(H24=Year_Open_to_Traffic?,Calculations!$E$4,K23+(K23*M24))</f>
        <v>119778.04559007788</v>
      </c>
      <c r="L24" s="50">
        <f>IF(AND(H24&gt;=Year_Open_to_Traffic?, Calculations!H24&lt;Year_Open_to_Traffic?+'Inputs &amp; Outputs'!B$21), 1, 0)</f>
        <v>1</v>
      </c>
      <c r="M24" s="65">
        <f t="shared" si="11"/>
        <v>3.221683599587033E-2</v>
      </c>
      <c r="N24" s="71">
        <f t="shared" si="12"/>
        <v>0.60126465324273048</v>
      </c>
      <c r="O24" s="72">
        <f t="shared" si="7"/>
        <v>1</v>
      </c>
      <c r="P24" s="68">
        <f>(J24-K24)*L24</f>
        <v>8555.5746850055584</v>
      </c>
      <c r="Q24" s="69">
        <f t="shared" si="0"/>
        <v>1</v>
      </c>
      <c r="R24" s="70">
        <f t="shared" si="1"/>
        <v>27.93745691239025</v>
      </c>
      <c r="S24" s="77">
        <f t="shared" si="2"/>
        <v>332.23918878108054</v>
      </c>
      <c r="T24" s="64">
        <f t="shared" si="9"/>
        <v>85.856919860495509</v>
      </c>
      <c r="W24" s="58"/>
    </row>
    <row r="25" spans="1:23">
      <c r="H25" s="14">
        <f t="shared" si="3"/>
        <v>2039</v>
      </c>
      <c r="I25" s="79">
        <f t="shared" si="10"/>
        <v>6494.9504862180147</v>
      </c>
      <c r="J25" s="50">
        <f t="shared" si="4"/>
        <v>132468.12347224209</v>
      </c>
      <c r="K25" s="50">
        <f>IF(H25=Year_Open_to_Traffic?,Calculations!$E$4,K24+(K24*M25))</f>
        <v>123636.91524075929</v>
      </c>
      <c r="L25" s="50">
        <f>IF(AND(H25&gt;=Year_Open_to_Traffic?, Calculations!H25&lt;Year_Open_to_Traffic?+'Inputs &amp; Outputs'!B$21), 1, 0)</f>
        <v>1</v>
      </c>
      <c r="M25" s="65">
        <f t="shared" si="11"/>
        <v>3.221683599587033E-2</v>
      </c>
      <c r="N25" s="71">
        <f t="shared" si="12"/>
        <v>0.62063549796636541</v>
      </c>
      <c r="O25" s="72">
        <f t="shared" si="7"/>
        <v>1</v>
      </c>
      <c r="P25" s="68">
        <f t="shared" si="8"/>
        <v>8831.2082314828003</v>
      </c>
      <c r="Q25" s="69">
        <f t="shared" si="0"/>
        <v>1</v>
      </c>
      <c r="R25" s="70">
        <f t="shared" si="1"/>
        <v>28.580018421375218</v>
      </c>
      <c r="S25" s="77">
        <f t="shared" si="2"/>
        <v>350.83057057490265</v>
      </c>
      <c r="T25" s="64">
        <f t="shared" si="9"/>
        <v>84.730174022978431</v>
      </c>
      <c r="W25" s="58"/>
    </row>
    <row r="26" spans="1:23">
      <c r="H26" s="49">
        <f t="shared" si="3"/>
        <v>2040</v>
      </c>
      <c r="I26" s="79">
        <f t="shared" si="10"/>
        <v>6704.1972408337988</v>
      </c>
      <c r="J26" s="50">
        <f t="shared" si="4"/>
        <v>136735.82728082803</v>
      </c>
      <c r="K26" s="50">
        <f>IF(H26=Year_Open_to_Traffic?,Calculations!$E$4,K25+(K25*M26))</f>
        <v>127620.10546210615</v>
      </c>
      <c r="L26" s="50">
        <f>IF(AND(H26&gt;=Year_Open_to_Traffic?, Calculations!H26&lt;Year_Open_to_Traffic?+'Inputs &amp; Outputs'!B$21), 1, 0)</f>
        <v>1</v>
      </c>
      <c r="M26" s="65">
        <f t="shared" si="11"/>
        <v>3.221683599587033E-2</v>
      </c>
      <c r="N26" s="71">
        <f t="shared" si="12"/>
        <v>0.64063041001756316</v>
      </c>
      <c r="O26" s="72">
        <f t="shared" si="7"/>
        <v>1</v>
      </c>
      <c r="P26" s="68">
        <f t="shared" si="8"/>
        <v>9115.7218187218823</v>
      </c>
      <c r="Q26" s="69">
        <f t="shared" si="0"/>
        <v>1</v>
      </c>
      <c r="R26" s="70">
        <f t="shared" si="1"/>
        <v>29.237358845066851</v>
      </c>
      <c r="S26" s="77">
        <f t="shared" si="2"/>
        <v>370.46228562463017</v>
      </c>
      <c r="T26" s="64">
        <f t="shared" si="9"/>
        <v>83.618215067921682</v>
      </c>
      <c r="W26" s="58"/>
    </row>
    <row r="27" spans="1:23">
      <c r="H27" s="14">
        <f t="shared" si="3"/>
        <v>2041</v>
      </c>
      <c r="I27" s="79">
        <f t="shared" si="10"/>
        <v>6920.1852638257078</v>
      </c>
      <c r="J27" s="50">
        <f t="shared" si="4"/>
        <v>141141.02300309413</v>
      </c>
      <c r="K27" s="50">
        <f>IF(H27=Year_Open_to_Traffic?,Calculations!$E$4,K26+(K26*M27))</f>
        <v>131731.62146955449</v>
      </c>
      <c r="L27" s="50">
        <f>IF(AND(H27&gt;=Year_Open_to_Traffic?, Calculations!H27&lt;Year_Open_to_Traffic?+'Inputs &amp; Outputs'!B$21), 1, 0)</f>
        <v>1</v>
      </c>
      <c r="M27" s="65">
        <f t="shared" si="11"/>
        <v>3.221683599587033E-2</v>
      </c>
      <c r="N27" s="71">
        <f t="shared" si="12"/>
        <v>0.66126949487106612</v>
      </c>
      <c r="O27" s="72">
        <f t="shared" si="7"/>
        <v>1</v>
      </c>
      <c r="P27" s="68">
        <f t="shared" si="8"/>
        <v>9409.4015335396398</v>
      </c>
      <c r="Q27" s="69">
        <f t="shared" si="0"/>
        <v>1</v>
      </c>
      <c r="R27" s="70">
        <f t="shared" si="1"/>
        <v>29.909818098503379</v>
      </c>
      <c r="S27" s="77">
        <f t="shared" si="2"/>
        <v>391.19254871468962</v>
      </c>
      <c r="T27" s="64">
        <f t="shared" si="9"/>
        <v>82.520848939233844</v>
      </c>
      <c r="W27" s="58"/>
    </row>
    <row r="28" spans="1:23">
      <c r="H28" s="49">
        <f t="shared" si="3"/>
        <v>2042</v>
      </c>
      <c r="I28" s="79">
        <f t="shared" si="10"/>
        <v>7143.1317375314193</v>
      </c>
      <c r="J28" s="50">
        <f t="shared" si="4"/>
        <v>145688.14019347419</v>
      </c>
      <c r="K28" s="50">
        <f>IF(H28=Year_Open_to_Traffic?,Calculations!$E$4,K27+(K27*M28))</f>
        <v>135975.59751390919</v>
      </c>
      <c r="L28" s="50">
        <f>IF(AND(H28&gt;=Year_Open_to_Traffic?, Calculations!H28&lt;Year_Open_to_Traffic?+'Inputs &amp; Outputs'!B$21), 1, 0)</f>
        <v>1</v>
      </c>
      <c r="M28" s="65">
        <f t="shared" si="11"/>
        <v>3.221683599587033E-2</v>
      </c>
      <c r="N28" s="71">
        <f t="shared" si="12"/>
        <v>0.6825735057363993</v>
      </c>
      <c r="O28" s="72">
        <f t="shared" si="7"/>
        <v>1</v>
      </c>
      <c r="P28" s="68">
        <f t="shared" si="8"/>
        <v>9712.5426795649983</v>
      </c>
      <c r="Q28" s="69">
        <f t="shared" si="0"/>
        <v>1</v>
      </c>
      <c r="R28" s="70">
        <f t="shared" si="1"/>
        <v>30.597743914768959</v>
      </c>
      <c r="S28" s="77">
        <f t="shared" si="2"/>
        <v>413.0828322021253</v>
      </c>
      <c r="T28" s="64">
        <f t="shared" si="9"/>
        <v>81.437884127524811</v>
      </c>
      <c r="W28" s="58"/>
    </row>
    <row r="29" spans="1:23">
      <c r="H29" s="14">
        <f t="shared" si="3"/>
        <v>2043</v>
      </c>
      <c r="I29" s="79">
        <f t="shared" si="10"/>
        <v>7373.2608412163654</v>
      </c>
      <c r="J29" s="50">
        <f t="shared" si="4"/>
        <v>150381.75111263071</v>
      </c>
      <c r="K29" s="50">
        <f>IF(H29=Year_Open_to_Traffic?,Calculations!$E$4,K28+(K28*M29))</f>
        <v>140356.30103845528</v>
      </c>
      <c r="L29" s="50">
        <f>IF(AND(H29&gt;=Year_Open_to_Traffic?, Calculations!H29&lt;Year_Open_to_Traffic?+'Inputs &amp; Outputs'!B$21), 1, 0)</f>
        <v>0</v>
      </c>
      <c r="M29" s="65">
        <f t="shared" si="11"/>
        <v>3.221683599587033E-2</v>
      </c>
      <c r="N29" s="71">
        <f t="shared" si="12"/>
        <v>0.70456386442583518</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7610.8039764926061</v>
      </c>
      <c r="J30" s="50">
        <f t="shared" si="4"/>
        <v>155226.57532499812</v>
      </c>
      <c r="K30" s="50">
        <f>IF(H30=Year_Open_to_Traffic?,Calculations!$E$4,K29+(K29*M30))</f>
        <v>144878.13696999819</v>
      </c>
      <c r="L30" s="50">
        <f>IF(AND(H30&gt;=Year_Open_to_Traffic?, Calculations!H30&lt;Year_Open_to_Traffic?+'Inputs &amp; Outputs'!B$21), 1, 0)</f>
        <v>0</v>
      </c>
      <c r="M30" s="65">
        <f t="shared" si="11"/>
        <v>3.221683599587033E-2</v>
      </c>
      <c r="N30" s="71">
        <f t="shared" si="12"/>
        <v>0.7272626828946589</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7855.9999999999864</v>
      </c>
      <c r="J31" s="50">
        <f t="shared" si="4"/>
        <v>160227.48444444418</v>
      </c>
      <c r="K31" s="50">
        <f>IF(H31=Year_Open_to_Traffic?,Calculations!$E$4,K30+(K30*M31))</f>
        <v>149545.65214814787</v>
      </c>
      <c r="L31" s="50">
        <f>IF(AND(H31&gt;=Year_Open_to_Traffic?, Calculations!H31&lt;Year_Open_to_Traffic?+'Inputs &amp; Outputs'!B$21), 1, 0)</f>
        <v>0</v>
      </c>
      <c r="M31" s="65">
        <f t="shared" si="11"/>
        <v>3.221683599587033E-2</v>
      </c>
      <c r="N31" s="71">
        <f t="shared" si="12"/>
        <v>0.75069278547539275</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8109.0954635835433</v>
      </c>
      <c r="J32" s="50">
        <f t="shared" si="4"/>
        <v>165389.50703282171</v>
      </c>
      <c r="K32" s="50">
        <f>IF(H32=Year_Open_to_Traffic?,Calculations!$E$4,K31+(K31*M32))</f>
        <v>154363.53989730022</v>
      </c>
      <c r="L32" s="50">
        <f>IF(AND(H32&gt;=Year_Open_to_Traffic?, Calculations!H32&lt;Year_Open_to_Traffic?+'Inputs &amp; Outputs'!B$21), 1, 0)</f>
        <v>0</v>
      </c>
      <c r="M32" s="65">
        <f t="shared" si="11"/>
        <v>3.221683599587033E-2</v>
      </c>
      <c r="N32" s="71">
        <f t="shared" si="12"/>
        <v>0.77487773182833652</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8370.3448622086707</v>
      </c>
      <c r="J33" s="50">
        <f t="shared" si="4"/>
        <v>170717.83365633598</v>
      </c>
      <c r="K33" s="50">
        <f>IF(H33=Year_Open_to_Traffic?,Calculations!$E$4,K32+(K32*M33))</f>
        <v>159336.64474591351</v>
      </c>
      <c r="L33" s="50">
        <f>IF(AND(H33&gt;=Year_Open_to_Traffic?, Calculations!H33&lt;Year_Open_to_Traffic?+'Inputs &amp; Outputs'!B$21), 1, 0)</f>
        <v>0</v>
      </c>
      <c r="M33" s="65">
        <f t="shared" si="11"/>
        <v>3.221683599587033E-2</v>
      </c>
      <c r="N33" s="71">
        <f t="shared" si="12"/>
        <v>0.79984184063150199</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8640.0108898633225</v>
      </c>
      <c r="J34" s="50">
        <f t="shared" si="4"/>
        <v>176217.82210481243</v>
      </c>
      <c r="K34" s="50">
        <f>IF(H34=Year_Open_to_Traffic?,Calculations!$E$4,K33+(K33*M34))</f>
        <v>164469.96729782486</v>
      </c>
      <c r="L34" s="50">
        <f>IF(AND(H34&gt;=Year_Open_to_Traffic?, Calculations!H34&lt;Year_Open_to_Traffic?+'Inputs &amp; Outputs'!B$21), 1, 0)</f>
        <v>0</v>
      </c>
      <c r="M34" s="65">
        <f t="shared" si="11"/>
        <v>3.221683599587033E-2</v>
      </c>
      <c r="N34" s="71">
        <f t="shared" si="12"/>
        <v>0.82561021403376211</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8918.364703704583</v>
      </c>
      <c r="J35" s="50">
        <f t="shared" si="4"/>
        <v>181895.00277911263</v>
      </c>
      <c r="K35" s="50">
        <f>IF(H35=Year_Open_to_Traffic?,Calculations!$E$4,K34+(K34*M35))</f>
        <v>169768.66926050503</v>
      </c>
      <c r="L35" s="50">
        <f>IF(AND(H35&gt;=Year_Open_to_Traffic?, Calculations!H35&lt;Year_Open_to_Traffic?+'Inputs &amp; Outputs'!B$21), 1, 0)</f>
        <v>0</v>
      </c>
      <c r="M35" s="65">
        <f t="shared" si="11"/>
        <v>3.221683599587033E-2</v>
      </c>
      <c r="N35" s="71">
        <f t="shared" si="12"/>
        <v>0.85220876289580327</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9205.6861967151926</v>
      </c>
      <c r="J36" s="50">
        <f t="shared" si="4"/>
        <v>187755.08425211569</v>
      </c>
      <c r="K36" s="50">
        <f>IF(H36=Year_Open_to_Traffic?,Calculations!$E$4,K35+(K35*M36))</f>
        <v>175238.07863530787</v>
      </c>
      <c r="L36" s="50">
        <f>IF(AND(H36&gt;=Year_Open_to_Traffic?, Calculations!H36&lt;Year_Open_to_Traffic?+'Inputs &amp; Outputs'!B$21), 1, 0)</f>
        <v>0</v>
      </c>
      <c r="M36" s="65">
        <f t="shared" si="11"/>
        <v>3.221683599587033E-2</v>
      </c>
      <c r="N36" s="71">
        <f t="shared" si="12"/>
        <v>0.87966423284426087</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1851.9071935083098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127</v>
      </c>
    </row>
    <row r="4" spans="2:3">
      <c r="B4" s="2" t="s">
        <v>128</v>
      </c>
    </row>
    <row r="5" spans="2:3">
      <c r="B5" s="29" t="s">
        <v>129</v>
      </c>
      <c r="C5" s="29">
        <v>2018</v>
      </c>
    </row>
    <row r="6" spans="2:3">
      <c r="B6" s="29" t="s">
        <v>130</v>
      </c>
      <c r="C6" s="43">
        <v>7.0000000000000007E-2</v>
      </c>
    </row>
    <row r="7" spans="2:3">
      <c r="C7" s="28"/>
    </row>
    <row r="8" spans="2:3">
      <c r="B8" s="2" t="s">
        <v>131</v>
      </c>
      <c r="C8" s="28"/>
    </row>
    <row r="9" spans="2:3">
      <c r="B9" s="29" t="s">
        <v>114</v>
      </c>
      <c r="C9" s="30">
        <f>'Value of Travel Time'!D21</f>
        <v>17.728589999999997</v>
      </c>
    </row>
    <row r="10" spans="2:3">
      <c r="B10" s="44" t="s">
        <v>116</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132</v>
      </c>
    </row>
    <row r="3" spans="2:8">
      <c r="B3" s="3"/>
    </row>
    <row r="4" spans="2:8">
      <c r="B4" t="s">
        <v>133</v>
      </c>
      <c r="C4" t="s">
        <v>134</v>
      </c>
      <c r="D4" s="52">
        <v>3006841</v>
      </c>
      <c r="E4" s="1">
        <f>D4/D$12</f>
        <v>0.12557431780451911</v>
      </c>
      <c r="G4" t="s">
        <v>135</v>
      </c>
      <c r="H4" s="1">
        <f>SUMIF($C$4:$C$11,G4,$E$4:$E$11)</f>
        <v>0.75146889419806362</v>
      </c>
    </row>
    <row r="5" spans="2:8">
      <c r="B5" t="s">
        <v>133</v>
      </c>
      <c r="C5" t="s">
        <v>135</v>
      </c>
      <c r="D5" s="52">
        <v>12248090</v>
      </c>
      <c r="E5" s="1">
        <f t="shared" ref="E5:E12" si="0">D5/D$12</f>
        <v>0.51151542304975628</v>
      </c>
      <c r="G5" t="s">
        <v>134</v>
      </c>
      <c r="H5" s="1">
        <f>SUMIF($C$4:$C$11,G5,$E$4:$E$11)</f>
        <v>0.21391573997984439</v>
      </c>
    </row>
    <row r="6" spans="2:8">
      <c r="B6" t="s">
        <v>136</v>
      </c>
      <c r="C6" t="s">
        <v>134</v>
      </c>
      <c r="D6" s="52">
        <v>2053465</v>
      </c>
      <c r="E6" s="1">
        <f t="shared" si="0"/>
        <v>8.5758597315407373E-2</v>
      </c>
      <c r="G6" t="s">
        <v>137</v>
      </c>
      <c r="H6" s="1">
        <f>SUMIF($C$4:$C$11,G6,$E$4:$E$11)</f>
        <v>3.4615365822091917E-2</v>
      </c>
    </row>
    <row r="7" spans="2:8">
      <c r="B7" t="s">
        <v>136</v>
      </c>
      <c r="C7" t="s">
        <v>135</v>
      </c>
      <c r="D7" s="52">
        <v>5512163</v>
      </c>
      <c r="E7" s="1">
        <f t="shared" si="0"/>
        <v>0.23020376147335739</v>
      </c>
      <c r="H7" s="1">
        <f>SUM(H4:H6)</f>
        <v>0.99999999999999989</v>
      </c>
    </row>
    <row r="8" spans="2:8">
      <c r="B8" t="s">
        <v>138</v>
      </c>
      <c r="C8" t="s">
        <v>137</v>
      </c>
      <c r="D8" s="52">
        <v>108311</v>
      </c>
      <c r="E8" s="1">
        <f t="shared" si="0"/>
        <v>4.5233785011330055E-3</v>
      </c>
    </row>
    <row r="9" spans="2:8">
      <c r="B9" t="s">
        <v>139</v>
      </c>
      <c r="C9" t="s">
        <v>137</v>
      </c>
      <c r="D9" s="52">
        <v>720544</v>
      </c>
      <c r="E9" s="1">
        <f t="shared" si="0"/>
        <v>3.0091987320958909E-2</v>
      </c>
    </row>
    <row r="10" spans="2:8">
      <c r="B10" t="s">
        <v>140</v>
      </c>
      <c r="C10" t="s">
        <v>134</v>
      </c>
      <c r="D10" s="52">
        <v>61845</v>
      </c>
      <c r="E10" s="1">
        <f t="shared" si="0"/>
        <v>2.5828248599179286E-3</v>
      </c>
    </row>
    <row r="11" spans="2:8">
      <c r="B11" t="s">
        <v>141</v>
      </c>
      <c r="C11" t="s">
        <v>135</v>
      </c>
      <c r="D11" s="52">
        <v>233454</v>
      </c>
      <c r="E11" s="1">
        <f t="shared" si="0"/>
        <v>9.7497096749499558E-3</v>
      </c>
    </row>
    <row r="12" spans="2:8">
      <c r="D12" s="53">
        <f>SUM(D4:D11)</f>
        <v>23944713</v>
      </c>
      <c r="E12" s="1">
        <f t="shared" si="0"/>
        <v>1</v>
      </c>
    </row>
    <row r="15" spans="2:8">
      <c r="B15" s="3" t="s">
        <v>142</v>
      </c>
    </row>
    <row r="17" spans="2:4">
      <c r="C17" s="54" t="s">
        <v>143</v>
      </c>
      <c r="D17" s="54" t="s">
        <v>144</v>
      </c>
    </row>
    <row r="18" spans="2:4">
      <c r="B18" s="126" t="s">
        <v>145</v>
      </c>
      <c r="C18" s="55">
        <v>14.2</v>
      </c>
      <c r="D18" s="56">
        <f>C18*(1+'Assumed Values'!$C$10)^(2018-2017)</f>
        <v>14.526599999999998</v>
      </c>
    </row>
    <row r="19" spans="2:4">
      <c r="B19" s="126" t="s">
        <v>146</v>
      </c>
      <c r="C19" s="55">
        <v>26.5</v>
      </c>
      <c r="D19" s="56">
        <f>C19*(1+'Assumed Values'!$C$10)^(2018-2017)</f>
        <v>27.109499999999997</v>
      </c>
    </row>
    <row r="20" spans="2:4">
      <c r="B20" s="126" t="s">
        <v>137</v>
      </c>
      <c r="C20" s="55">
        <v>28.6</v>
      </c>
      <c r="D20" s="56">
        <f>C20*(1+'Assumed Values'!$C$10)^(2018-2017)</f>
        <v>29.2578</v>
      </c>
    </row>
    <row r="21" spans="2:4">
      <c r="B21" s="4" t="s">
        <v>147</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148</v>
      </c>
      <c r="C2" s="134"/>
      <c r="D2" s="134"/>
      <c r="E2" s="134"/>
      <c r="F2" s="134"/>
      <c r="G2" s="134"/>
      <c r="H2" s="134"/>
      <c r="I2" s="134"/>
    </row>
    <row r="3" spans="2:14">
      <c r="B3" s="135" t="s">
        <v>149</v>
      </c>
      <c r="C3" s="135"/>
    </row>
    <row r="4" spans="2:14" ht="30">
      <c r="B4" s="62" t="s">
        <v>150</v>
      </c>
      <c r="C4" s="62" t="s">
        <v>151</v>
      </c>
      <c r="D4" s="124" t="s">
        <v>152</v>
      </c>
      <c r="E4" s="62" t="s">
        <v>153</v>
      </c>
      <c r="F4" s="62" t="s">
        <v>154</v>
      </c>
      <c r="G4" s="90" t="s">
        <v>155</v>
      </c>
      <c r="H4" s="92"/>
      <c r="L4" s="62" t="s">
        <v>51</v>
      </c>
      <c r="N4" s="62" t="s">
        <v>156</v>
      </c>
    </row>
    <row r="5" spans="2:14">
      <c r="B5" s="73" t="s">
        <v>157</v>
      </c>
      <c r="C5" s="81">
        <v>0.1</v>
      </c>
      <c r="D5" s="74">
        <v>0.1</v>
      </c>
      <c r="E5" s="74">
        <v>7.0000000000000007E-2</v>
      </c>
      <c r="F5" s="74">
        <v>0.2</v>
      </c>
      <c r="G5" s="91">
        <v>0.15</v>
      </c>
      <c r="H5" s="93"/>
      <c r="L5" s="44" t="s">
        <v>158</v>
      </c>
      <c r="N5" s="44" t="s">
        <v>124</v>
      </c>
    </row>
    <row r="6" spans="2:14">
      <c r="B6" s="73" t="s">
        <v>159</v>
      </c>
      <c r="C6" s="81">
        <v>0.3</v>
      </c>
      <c r="D6" s="74">
        <v>0.2</v>
      </c>
      <c r="E6" s="74">
        <v>0.1</v>
      </c>
      <c r="F6" s="74">
        <v>0.3</v>
      </c>
      <c r="G6" s="91">
        <v>0.2</v>
      </c>
      <c r="H6" s="93"/>
      <c r="L6" s="44" t="s">
        <v>160</v>
      </c>
      <c r="N6" s="44" t="s">
        <v>55</v>
      </c>
    </row>
    <row r="7" spans="2:14">
      <c r="B7" s="73" t="s">
        <v>161</v>
      </c>
      <c r="C7" s="81">
        <v>0.3</v>
      </c>
      <c r="D7" s="74">
        <v>0.2</v>
      </c>
      <c r="E7" s="74">
        <v>0.15</v>
      </c>
      <c r="F7" s="74">
        <v>0.3</v>
      </c>
      <c r="G7" s="91">
        <v>0.25</v>
      </c>
      <c r="H7" s="93"/>
      <c r="L7" s="44" t="s">
        <v>162</v>
      </c>
    </row>
    <row r="8" spans="2:14">
      <c r="B8" s="73" t="s">
        <v>163</v>
      </c>
      <c r="C8" s="81">
        <v>0.2</v>
      </c>
      <c r="D8" s="74">
        <v>0.02</v>
      </c>
      <c r="E8" s="74">
        <v>0.02</v>
      </c>
      <c r="F8" s="74">
        <v>0.2</v>
      </c>
      <c r="G8" s="91">
        <v>0.15</v>
      </c>
      <c r="H8" s="93"/>
      <c r="L8" s="44" t="s">
        <v>164</v>
      </c>
    </row>
    <row r="9" spans="2:14">
      <c r="B9" s="73" t="s">
        <v>165</v>
      </c>
      <c r="C9" s="81">
        <v>0.2</v>
      </c>
      <c r="D9" s="74">
        <v>0.02</v>
      </c>
      <c r="E9" s="74">
        <v>0.02</v>
      </c>
      <c r="F9" s="74">
        <v>0.2</v>
      </c>
      <c r="G9" s="91">
        <v>0.15</v>
      </c>
      <c r="H9" s="93"/>
      <c r="L9" s="44" t="s">
        <v>166</v>
      </c>
    </row>
    <row r="10" spans="2:14">
      <c r="B10" s="73" t="s">
        <v>167</v>
      </c>
      <c r="C10" s="81">
        <v>0.3</v>
      </c>
      <c r="D10" s="74">
        <v>0.1</v>
      </c>
      <c r="E10" s="74">
        <v>0.1</v>
      </c>
      <c r="F10" s="74">
        <v>0.3</v>
      </c>
      <c r="G10" s="91">
        <v>0.22</v>
      </c>
      <c r="H10" s="93"/>
      <c r="L10" s="44" t="s">
        <v>52</v>
      </c>
    </row>
    <row r="11" spans="2:14">
      <c r="B11" s="73" t="s">
        <v>73</v>
      </c>
      <c r="C11" s="81">
        <v>0.4</v>
      </c>
      <c r="D11" s="74">
        <v>0.2</v>
      </c>
      <c r="E11" s="74">
        <v>0.12</v>
      </c>
      <c r="F11" s="74">
        <v>0.4</v>
      </c>
      <c r="G11" s="91">
        <v>0.3</v>
      </c>
      <c r="H11" s="93"/>
      <c r="L11" s="44" t="s">
        <v>168</v>
      </c>
    </row>
    <row r="12" spans="2:14">
      <c r="B12" s="73" t="s">
        <v>169</v>
      </c>
      <c r="C12" s="81">
        <v>0.2</v>
      </c>
      <c r="D12" s="74">
        <v>0.2</v>
      </c>
      <c r="E12" s="74">
        <v>0.12</v>
      </c>
      <c r="F12" s="74">
        <v>0.4</v>
      </c>
      <c r="G12" s="91">
        <v>0.3</v>
      </c>
      <c r="H12" s="93"/>
      <c r="L12" s="44" t="s">
        <v>170</v>
      </c>
    </row>
    <row r="13" spans="2:14">
      <c r="B13" s="73" t="s">
        <v>171</v>
      </c>
      <c r="C13" s="81">
        <v>0.2</v>
      </c>
      <c r="D13" s="74">
        <v>0.02</v>
      </c>
      <c r="E13" s="74">
        <v>0.02</v>
      </c>
      <c r="F13" s="74">
        <v>0.2</v>
      </c>
      <c r="G13" s="91">
        <v>0.1</v>
      </c>
      <c r="H13" s="93"/>
    </row>
    <row r="14" spans="2:14">
      <c r="B14" s="73" t="s">
        <v>172</v>
      </c>
      <c r="C14" s="81">
        <v>0.2</v>
      </c>
      <c r="D14" s="74">
        <v>0.1</v>
      </c>
      <c r="E14" s="74">
        <v>0.05</v>
      </c>
      <c r="F14" s="74">
        <v>0.2</v>
      </c>
      <c r="G14" s="74">
        <v>0.1</v>
      </c>
    </row>
    <row r="15" spans="2:14">
      <c r="B15" s="73" t="s">
        <v>173</v>
      </c>
      <c r="C15" s="81">
        <v>0.04</v>
      </c>
      <c r="D15" s="74">
        <v>0.01</v>
      </c>
      <c r="E15" s="74">
        <v>0.01</v>
      </c>
      <c r="F15" s="74">
        <v>0.04</v>
      </c>
      <c r="G15" s="74">
        <v>0.02</v>
      </c>
    </row>
    <row r="16" spans="2:14">
      <c r="B16" s="73" t="s">
        <v>174</v>
      </c>
      <c r="C16" s="81">
        <v>0.01</v>
      </c>
      <c r="D16" s="74">
        <v>0.01</v>
      </c>
      <c r="E16" s="74">
        <v>5.0000000000000001E-3</v>
      </c>
      <c r="F16" s="74">
        <v>0.01</v>
      </c>
      <c r="G16" s="74">
        <v>5.0000000000000001E-3</v>
      </c>
    </row>
    <row r="17" spans="2:7">
      <c r="B17" s="73" t="s">
        <v>175</v>
      </c>
      <c r="C17" s="81">
        <v>0.04</v>
      </c>
      <c r="D17" s="74">
        <v>0.02</v>
      </c>
      <c r="E17" s="74">
        <v>0.01</v>
      </c>
      <c r="F17" s="74">
        <v>0.04</v>
      </c>
      <c r="G17" s="74">
        <v>0.02</v>
      </c>
    </row>
    <row r="18" spans="2:7">
      <c r="B18" s="73" t="s">
        <v>176</v>
      </c>
      <c r="C18" s="81">
        <v>0.04</v>
      </c>
      <c r="D18" s="74">
        <v>0.02</v>
      </c>
      <c r="E18" s="74">
        <v>0.01</v>
      </c>
      <c r="F18" s="74">
        <v>0.04</v>
      </c>
      <c r="G18" s="74">
        <v>0.02</v>
      </c>
    </row>
    <row r="19" spans="2:7">
      <c r="B19" s="73" t="s">
        <v>177</v>
      </c>
      <c r="C19" s="81">
        <v>0.05</v>
      </c>
      <c r="D19" s="74">
        <v>0.05</v>
      </c>
      <c r="E19" s="74">
        <v>0.02</v>
      </c>
      <c r="F19" s="74">
        <v>0.01</v>
      </c>
      <c r="G19" s="74">
        <v>5.0000000000000001E-3</v>
      </c>
    </row>
    <row r="20" spans="2:7">
      <c r="B20" s="73" t="s">
        <v>178</v>
      </c>
      <c r="C20" s="81">
        <v>0.01</v>
      </c>
      <c r="D20" s="74">
        <v>0.01</v>
      </c>
      <c r="E20" s="74">
        <v>5.0000000000000001E-3</v>
      </c>
      <c r="F20" s="74">
        <v>0.01</v>
      </c>
      <c r="G20" s="74">
        <v>5.0000000000000001E-3</v>
      </c>
    </row>
    <row r="21" spans="2:7">
      <c r="B21" s="73" t="s">
        <v>179</v>
      </c>
      <c r="C21" s="81">
        <v>0.25</v>
      </c>
      <c r="D21" s="74">
        <v>0.1</v>
      </c>
      <c r="E21" s="74">
        <v>0.1</v>
      </c>
      <c r="F21" s="74">
        <v>0.25</v>
      </c>
      <c r="G21" s="74">
        <v>0.15</v>
      </c>
    </row>
    <row r="22" spans="2:7">
      <c r="B22" s="73" t="s">
        <v>180</v>
      </c>
      <c r="C22" s="81">
        <v>0.1</v>
      </c>
      <c r="D22" s="74">
        <v>0.1</v>
      </c>
      <c r="E22" s="74">
        <v>0.1</v>
      </c>
      <c r="F22" s="74">
        <v>0.15</v>
      </c>
      <c r="G22" s="74">
        <v>0.15</v>
      </c>
    </row>
    <row r="23" spans="2:7">
      <c r="B23" s="73" t="s">
        <v>181</v>
      </c>
      <c r="C23" s="81">
        <v>0.1</v>
      </c>
      <c r="D23" s="74">
        <v>0.05</v>
      </c>
      <c r="E23" s="74">
        <v>0.03</v>
      </c>
      <c r="F23" s="74">
        <v>0.1</v>
      </c>
      <c r="G23" s="74">
        <v>0.1</v>
      </c>
    </row>
    <row r="24" spans="2:7">
      <c r="B24" s="73" t="s">
        <v>182</v>
      </c>
      <c r="C24" s="81">
        <v>0.06</v>
      </c>
      <c r="D24" s="74">
        <v>0.03</v>
      </c>
      <c r="E24" s="74">
        <v>0.01</v>
      </c>
      <c r="F24" s="74">
        <v>0.06</v>
      </c>
      <c r="G24" s="74">
        <v>0.04</v>
      </c>
    </row>
    <row r="25" spans="2:7">
      <c r="B25" s="73" t="s">
        <v>183</v>
      </c>
      <c r="C25" s="81">
        <v>0.2</v>
      </c>
      <c r="D25" s="74">
        <v>0.1</v>
      </c>
      <c r="E25" s="74">
        <v>0.05</v>
      </c>
      <c r="F25" s="74">
        <v>0.2</v>
      </c>
      <c r="G25" s="74">
        <v>0.1</v>
      </c>
    </row>
    <row r="26" spans="2:7">
      <c r="B26" s="73" t="s">
        <v>184</v>
      </c>
      <c r="C26" s="81">
        <v>0.25</v>
      </c>
      <c r="D26" s="74">
        <v>0.1</v>
      </c>
      <c r="E26" s="74">
        <v>0.1</v>
      </c>
      <c r="F26" s="74">
        <v>0.25</v>
      </c>
      <c r="G26" s="74">
        <v>0.2</v>
      </c>
    </row>
    <row r="27" spans="2:7">
      <c r="B27" s="73" t="s">
        <v>185</v>
      </c>
      <c r="C27" s="81">
        <v>0.15</v>
      </c>
      <c r="D27" s="74">
        <v>0.1</v>
      </c>
      <c r="E27" s="74">
        <v>0.05</v>
      </c>
      <c r="F27" s="74">
        <v>0.15</v>
      </c>
      <c r="G27" s="74">
        <v>0.1</v>
      </c>
    </row>
    <row r="28" spans="2:7">
      <c r="B28" s="73" t="s">
        <v>186</v>
      </c>
      <c r="C28" s="81">
        <v>0.1</v>
      </c>
      <c r="D28" s="74">
        <v>0.05</v>
      </c>
      <c r="E28" s="74">
        <v>0.02</v>
      </c>
      <c r="F28" s="74">
        <v>0.1</v>
      </c>
      <c r="G28" s="74">
        <v>0.05</v>
      </c>
    </row>
    <row r="29" spans="2:7">
      <c r="B29" s="73" t="s">
        <v>187</v>
      </c>
      <c r="C29" s="81">
        <v>0.02</v>
      </c>
      <c r="D29" s="74">
        <v>0.02</v>
      </c>
      <c r="E29" s="74">
        <v>0.01</v>
      </c>
      <c r="F29" s="74">
        <v>0.02</v>
      </c>
      <c r="G29" s="74">
        <v>0.01</v>
      </c>
    </row>
    <row r="30" spans="2:7">
      <c r="B30" s="73" t="s">
        <v>188</v>
      </c>
      <c r="C30" s="81">
        <v>0.1</v>
      </c>
      <c r="D30" s="74">
        <v>0.05</v>
      </c>
      <c r="E30" s="74">
        <v>0.02</v>
      </c>
      <c r="F30" s="74">
        <v>0.1</v>
      </c>
      <c r="G30" s="74">
        <v>0.04</v>
      </c>
    </row>
    <row r="31" spans="2:7">
      <c r="B31" s="73" t="s">
        <v>189</v>
      </c>
      <c r="C31" s="81">
        <v>0.04</v>
      </c>
      <c r="D31" s="74">
        <v>0.02</v>
      </c>
      <c r="E31" s="74">
        <v>0.01</v>
      </c>
      <c r="F31" s="74">
        <v>0.04</v>
      </c>
      <c r="G31" s="74">
        <v>0.02</v>
      </c>
    </row>
    <row r="32" spans="2:7">
      <c r="B32" s="73" t="s">
        <v>190</v>
      </c>
      <c r="C32" s="81">
        <v>0.1</v>
      </c>
      <c r="D32" s="74">
        <v>0.02</v>
      </c>
      <c r="E32" s="74">
        <v>0.01</v>
      </c>
      <c r="F32" s="74">
        <v>0.1</v>
      </c>
      <c r="G32" s="74">
        <v>0.05</v>
      </c>
    </row>
    <row r="33" spans="2:7">
      <c r="B33" s="73" t="s">
        <v>191</v>
      </c>
      <c r="C33" s="81">
        <v>0.1</v>
      </c>
      <c r="D33" s="74">
        <v>0.04</v>
      </c>
      <c r="E33" s="74">
        <v>0.02</v>
      </c>
      <c r="F33" s="74">
        <v>0.1</v>
      </c>
      <c r="G33" s="74">
        <v>0.05</v>
      </c>
    </row>
    <row r="34" spans="2:7">
      <c r="B34" s="73" t="s">
        <v>192</v>
      </c>
      <c r="C34" s="81">
        <v>0.1</v>
      </c>
      <c r="D34" s="74">
        <v>0.02</v>
      </c>
      <c r="E34" s="74">
        <v>0.02</v>
      </c>
      <c r="F34" s="74">
        <v>0.1</v>
      </c>
      <c r="G34" s="74">
        <v>0.05</v>
      </c>
    </row>
    <row r="35" spans="2:7">
      <c r="B35" s="73" t="s">
        <v>193</v>
      </c>
      <c r="C35" s="81">
        <v>0.1</v>
      </c>
      <c r="D35" s="74">
        <v>0.02</v>
      </c>
      <c r="E35" s="74">
        <v>0.02</v>
      </c>
      <c r="F35" s="74">
        <v>0.1</v>
      </c>
      <c r="G35" s="74">
        <v>0.05</v>
      </c>
    </row>
    <row r="36" spans="2:7">
      <c r="B36" s="73" t="s">
        <v>194</v>
      </c>
      <c r="C36" s="81">
        <v>0.1</v>
      </c>
      <c r="D36" s="74">
        <v>0.04</v>
      </c>
      <c r="E36" s="74">
        <v>0.02</v>
      </c>
      <c r="F36" s="74">
        <v>0.1</v>
      </c>
      <c r="G36" s="74">
        <v>0.05</v>
      </c>
    </row>
    <row r="37" spans="2:7">
      <c r="B37" s="73" t="s">
        <v>195</v>
      </c>
      <c r="C37" s="81">
        <v>0.25</v>
      </c>
      <c r="D37" s="74">
        <v>0.1</v>
      </c>
      <c r="E37" s="74">
        <v>0.15</v>
      </c>
      <c r="F37" s="74">
        <v>0.3</v>
      </c>
      <c r="G37" s="74">
        <v>0.25</v>
      </c>
    </row>
    <row r="38" spans="2:7">
      <c r="B38" s="73" t="s">
        <v>196</v>
      </c>
      <c r="C38" s="81">
        <v>0.3</v>
      </c>
      <c r="D38" s="74">
        <v>0.1</v>
      </c>
      <c r="E38" s="74">
        <v>0.1</v>
      </c>
      <c r="F38" s="74">
        <v>0.3</v>
      </c>
      <c r="G38" s="74">
        <v>0.2</v>
      </c>
    </row>
    <row r="39" spans="2:7">
      <c r="B39" s="73" t="s">
        <v>197</v>
      </c>
      <c r="C39" s="81">
        <v>0.3</v>
      </c>
      <c r="D39" s="74">
        <v>0.2</v>
      </c>
      <c r="E39" s="74">
        <v>0.17</v>
      </c>
      <c r="F39" s="74">
        <v>0.3</v>
      </c>
      <c r="G39" s="74">
        <v>0.25</v>
      </c>
    </row>
    <row r="40" spans="2:7">
      <c r="B40" s="73" t="s">
        <v>198</v>
      </c>
      <c r="C40" s="81">
        <v>0.3</v>
      </c>
      <c r="D40" s="74">
        <v>0.2</v>
      </c>
      <c r="E40" s="74">
        <v>0.17</v>
      </c>
      <c r="F40" s="74">
        <v>0.3</v>
      </c>
      <c r="G40" s="74">
        <v>0.25</v>
      </c>
    </row>
    <row r="41" spans="2:7">
      <c r="B41" s="73" t="s">
        <v>199</v>
      </c>
      <c r="C41" s="81">
        <v>0.3</v>
      </c>
      <c r="D41" s="74">
        <v>0.15</v>
      </c>
      <c r="E41" s="74">
        <v>0.15</v>
      </c>
      <c r="F41" s="74">
        <v>0.3</v>
      </c>
      <c r="G41" s="74">
        <v>0.3</v>
      </c>
    </row>
    <row r="42" spans="2:7">
      <c r="B42" s="73" t="s">
        <v>200</v>
      </c>
      <c r="C42" s="81">
        <v>0.3</v>
      </c>
      <c r="D42" s="74">
        <v>0.1</v>
      </c>
      <c r="E42" s="74">
        <v>0.15</v>
      </c>
      <c r="F42" s="74">
        <v>0.3</v>
      </c>
      <c r="G42" s="74">
        <v>0.2</v>
      </c>
    </row>
    <row r="43" spans="2:7">
      <c r="B43" s="73" t="s">
        <v>201</v>
      </c>
      <c r="C43" s="81">
        <v>0.2</v>
      </c>
      <c r="D43" s="74">
        <v>0.1</v>
      </c>
      <c r="E43" s="74">
        <v>0.1</v>
      </c>
      <c r="F43" s="74">
        <v>0.2</v>
      </c>
      <c r="G43" s="74">
        <v>0.2</v>
      </c>
    </row>
    <row r="44" spans="2:7">
      <c r="B44" s="73" t="s">
        <v>202</v>
      </c>
      <c r="C44" s="81">
        <v>0.3</v>
      </c>
      <c r="D44" s="74">
        <v>0.2</v>
      </c>
      <c r="E44" s="74">
        <v>0.1</v>
      </c>
      <c r="F44" s="74">
        <v>0.3</v>
      </c>
      <c r="G44" s="74">
        <v>0.2</v>
      </c>
    </row>
    <row r="45" spans="2:7">
      <c r="B45" s="73" t="s">
        <v>203</v>
      </c>
      <c r="C45" s="81">
        <v>0.05</v>
      </c>
      <c r="D45" s="74">
        <v>0.02</v>
      </c>
      <c r="E45" s="74">
        <v>0.01</v>
      </c>
      <c r="F45" s="74">
        <v>0.05</v>
      </c>
      <c r="G45" s="74">
        <v>0.05</v>
      </c>
    </row>
    <row r="46" spans="2:7">
      <c r="B46" s="73" t="s">
        <v>204</v>
      </c>
      <c r="C46" s="81">
        <v>0.05</v>
      </c>
      <c r="D46" s="74">
        <v>0.02</v>
      </c>
      <c r="E46" s="74">
        <v>0.01</v>
      </c>
      <c r="F46" s="74">
        <v>0.05</v>
      </c>
      <c r="G46" s="74">
        <v>0.05</v>
      </c>
    </row>
    <row r="47" spans="2:7">
      <c r="B47" s="73" t="s">
        <v>205</v>
      </c>
      <c r="C47" s="81">
        <v>0.1</v>
      </c>
      <c r="D47" s="74">
        <v>0.04</v>
      </c>
      <c r="E47" s="74">
        <v>0.02</v>
      </c>
      <c r="F47" s="74">
        <v>0.1</v>
      </c>
      <c r="G47" s="74">
        <v>0.05</v>
      </c>
    </row>
    <row r="48" spans="2:7">
      <c r="B48" s="73" t="s">
        <v>206</v>
      </c>
      <c r="C48" s="81">
        <v>0.1</v>
      </c>
      <c r="D48" s="74">
        <v>0.03</v>
      </c>
      <c r="E48" s="74">
        <v>0.01</v>
      </c>
      <c r="F48" s="74">
        <v>0.1</v>
      </c>
      <c r="G48" s="74">
        <v>0.05</v>
      </c>
    </row>
    <row r="49" spans="2:7">
      <c r="B49" s="73" t="s">
        <v>207</v>
      </c>
      <c r="C49" s="81">
        <v>0.2</v>
      </c>
      <c r="D49" s="74">
        <v>0.1</v>
      </c>
      <c r="E49" s="74">
        <v>7.0000000000000007E-2</v>
      </c>
      <c r="F49" s="74">
        <v>0.2</v>
      </c>
      <c r="G49" s="74">
        <v>0.2</v>
      </c>
    </row>
    <row r="50" spans="2:7">
      <c r="B50" s="73" t="s">
        <v>208</v>
      </c>
      <c r="C50" s="81">
        <v>0.3</v>
      </c>
      <c r="D50" s="74">
        <v>0.15</v>
      </c>
      <c r="E50" s="74">
        <v>0.08</v>
      </c>
      <c r="F50" s="74">
        <v>0.3</v>
      </c>
      <c r="G50" s="74">
        <v>0.15</v>
      </c>
    </row>
    <row r="51" spans="2:7">
      <c r="B51" s="75" t="s">
        <v>209</v>
      </c>
      <c r="C51" s="81">
        <v>0.15</v>
      </c>
      <c r="D51" s="74">
        <v>0.05</v>
      </c>
      <c r="E51" s="74">
        <v>0.05</v>
      </c>
      <c r="F51" s="74">
        <v>0.15</v>
      </c>
      <c r="G51" s="74">
        <v>0.1</v>
      </c>
    </row>
    <row r="52" spans="2:7">
      <c r="B52" s="73" t="s">
        <v>210</v>
      </c>
      <c r="C52" s="81">
        <v>0.1</v>
      </c>
      <c r="D52" s="74">
        <v>0.05</v>
      </c>
      <c r="E52" s="74">
        <v>0.05</v>
      </c>
      <c r="F52" s="74">
        <v>0.1</v>
      </c>
      <c r="G52" s="74">
        <v>0.1</v>
      </c>
    </row>
    <row r="53" spans="2:7">
      <c r="B53" s="73" t="s">
        <v>211</v>
      </c>
      <c r="C53" s="81">
        <v>0.75</v>
      </c>
      <c r="D53" s="74">
        <v>0.4</v>
      </c>
      <c r="E53" s="74">
        <v>0.25</v>
      </c>
      <c r="F53" s="74">
        <v>0.75</v>
      </c>
      <c r="G53" s="74">
        <v>0.4</v>
      </c>
    </row>
    <row r="54" spans="2:7">
      <c r="B54" s="73" t="s">
        <v>212</v>
      </c>
      <c r="C54" s="81">
        <v>0.3</v>
      </c>
      <c r="D54" s="74">
        <v>0.2</v>
      </c>
      <c r="E54" s="74">
        <v>0.1</v>
      </c>
      <c r="F54" s="74">
        <v>0.3</v>
      </c>
      <c r="G54" s="74">
        <v>0.2</v>
      </c>
    </row>
    <row r="55" spans="2:7">
      <c r="B55" s="73" t="s">
        <v>213</v>
      </c>
      <c r="C55" s="81">
        <v>0.25</v>
      </c>
      <c r="D55" s="74">
        <v>0.1</v>
      </c>
      <c r="E55" s="74">
        <v>0.1</v>
      </c>
      <c r="F55" s="74">
        <v>0.25</v>
      </c>
      <c r="G55" s="74">
        <v>0.2</v>
      </c>
    </row>
    <row r="56" spans="2:7">
      <c r="B56" s="73" t="s">
        <v>214</v>
      </c>
      <c r="C56" s="81">
        <v>0.15</v>
      </c>
      <c r="D56" s="74">
        <v>0.1</v>
      </c>
      <c r="E56" s="74">
        <v>0.1</v>
      </c>
      <c r="F56" s="74">
        <v>0.15</v>
      </c>
      <c r="G56" s="74">
        <v>0.15</v>
      </c>
    </row>
    <row r="57" spans="2:7">
      <c r="B57" s="73" t="s">
        <v>215</v>
      </c>
      <c r="C57" s="81">
        <v>0.3</v>
      </c>
      <c r="D57" s="74">
        <v>0.15</v>
      </c>
      <c r="E57" s="74">
        <v>0.15</v>
      </c>
      <c r="F57" s="74">
        <v>0.3</v>
      </c>
      <c r="G57" s="74">
        <v>0.2</v>
      </c>
    </row>
    <row r="58" spans="2:7">
      <c r="B58" s="73" t="s">
        <v>216</v>
      </c>
      <c r="C58" s="81">
        <v>0.1</v>
      </c>
      <c r="D58" s="74">
        <v>0.05</v>
      </c>
      <c r="E58" s="74">
        <v>0.02</v>
      </c>
      <c r="F58" s="74">
        <v>0.1</v>
      </c>
      <c r="G58" s="74">
        <v>0.05</v>
      </c>
    </row>
    <row r="59" spans="2:7">
      <c r="B59" s="73" t="s">
        <v>217</v>
      </c>
      <c r="C59" s="81">
        <v>0.02</v>
      </c>
      <c r="D59" s="74">
        <v>0.02</v>
      </c>
      <c r="E59" s="74">
        <v>0.01</v>
      </c>
      <c r="F59" s="74">
        <v>0.03</v>
      </c>
      <c r="G59" s="74">
        <v>0.03</v>
      </c>
    </row>
    <row r="60" spans="2:7">
      <c r="B60" s="73" t="s">
        <v>218</v>
      </c>
      <c r="C60" s="81">
        <v>0.2</v>
      </c>
      <c r="D60" s="74">
        <v>0.1</v>
      </c>
      <c r="E60" s="74">
        <v>0.05</v>
      </c>
      <c r="F60" s="74">
        <v>0.2</v>
      </c>
      <c r="G60" s="74">
        <v>0.1</v>
      </c>
    </row>
    <row r="61" spans="2:7">
      <c r="B61" s="73" t="s">
        <v>219</v>
      </c>
      <c r="C61" s="81">
        <v>0.2</v>
      </c>
      <c r="D61" s="74">
        <v>0.1</v>
      </c>
      <c r="E61" s="74">
        <v>0.05</v>
      </c>
      <c r="F61" s="74">
        <v>0.2</v>
      </c>
      <c r="G61" s="74">
        <v>0.1</v>
      </c>
    </row>
    <row r="62" spans="2:7">
      <c r="B62" s="73" t="s">
        <v>220</v>
      </c>
      <c r="C62" s="81">
        <v>0.08</v>
      </c>
      <c r="D62" s="74">
        <v>0.04</v>
      </c>
      <c r="E62" s="74">
        <v>0.02</v>
      </c>
      <c r="F62" s="74">
        <v>0.08</v>
      </c>
      <c r="G62" s="74">
        <v>0.03</v>
      </c>
    </row>
    <row r="63" spans="2:7">
      <c r="B63" s="73" t="s">
        <v>221</v>
      </c>
      <c r="C63" s="81">
        <v>0.08</v>
      </c>
      <c r="D63" s="74">
        <v>0.04</v>
      </c>
      <c r="E63" s="74">
        <v>0.02</v>
      </c>
      <c r="F63" s="74">
        <v>0.08</v>
      </c>
      <c r="G63" s="74">
        <v>0.03</v>
      </c>
    </row>
    <row r="64" spans="2:7">
      <c r="B64" s="73" t="s">
        <v>222</v>
      </c>
      <c r="C64" s="81">
        <v>0.01</v>
      </c>
      <c r="D64" s="74">
        <v>0.01</v>
      </c>
      <c r="E64" s="74">
        <v>0.01</v>
      </c>
      <c r="F64" s="74">
        <v>0.01</v>
      </c>
      <c r="G64" s="74">
        <v>0.01</v>
      </c>
    </row>
    <row r="65" spans="2:7">
      <c r="B65" s="73" t="s">
        <v>223</v>
      </c>
      <c r="C65" s="81">
        <v>0.01</v>
      </c>
      <c r="D65" s="74">
        <v>0.01</v>
      </c>
      <c r="E65" s="74">
        <v>0.01</v>
      </c>
      <c r="F65" s="74">
        <v>0.01</v>
      </c>
      <c r="G65" s="74">
        <v>0.01</v>
      </c>
    </row>
    <row r="66" spans="2:7">
      <c r="B66" s="73" t="s">
        <v>224</v>
      </c>
      <c r="C66" s="81">
        <v>0.01</v>
      </c>
      <c r="D66" s="74">
        <v>0.01</v>
      </c>
      <c r="E66" s="74">
        <v>5.0000000000000001E-3</v>
      </c>
      <c r="F66" s="74">
        <v>0.01</v>
      </c>
      <c r="G66" s="74">
        <v>5.0000000000000001E-3</v>
      </c>
    </row>
    <row r="67" spans="2:7">
      <c r="B67" s="73" t="s">
        <v>225</v>
      </c>
      <c r="C67" s="81">
        <v>0.01</v>
      </c>
      <c r="D67" s="74">
        <v>0.01</v>
      </c>
      <c r="E67" s="74">
        <v>5.0000000000000001E-3</v>
      </c>
      <c r="F67" s="74">
        <v>0.01</v>
      </c>
      <c r="G67" s="74">
        <v>5.0000000000000001E-3</v>
      </c>
    </row>
    <row r="68" spans="2:7">
      <c r="B68" s="73" t="s">
        <v>226</v>
      </c>
      <c r="C68" s="81">
        <v>0.04</v>
      </c>
      <c r="D68" s="74">
        <v>0.02</v>
      </c>
      <c r="E68" s="74">
        <v>0.01</v>
      </c>
      <c r="F68" s="74">
        <v>0.04</v>
      </c>
      <c r="G68" s="74">
        <v>0.02</v>
      </c>
    </row>
    <row r="69" spans="2:7">
      <c r="B69" s="73" t="s">
        <v>227</v>
      </c>
      <c r="C69" s="81">
        <v>0.02</v>
      </c>
      <c r="D69" s="74">
        <v>0.02</v>
      </c>
      <c r="E69" s="74">
        <v>0.01</v>
      </c>
      <c r="F69" s="74">
        <v>0.02</v>
      </c>
      <c r="G69" s="74">
        <v>0.01</v>
      </c>
    </row>
    <row r="70" spans="2:7">
      <c r="B70" s="73" t="s">
        <v>228</v>
      </c>
      <c r="C70" s="81">
        <v>0.08</v>
      </c>
      <c r="D70" s="74">
        <v>0.05</v>
      </c>
      <c r="E70" s="74">
        <v>0.02</v>
      </c>
      <c r="F70" s="74">
        <v>0.08</v>
      </c>
      <c r="G70" s="74">
        <v>0.03</v>
      </c>
    </row>
    <row r="71" spans="2:7">
      <c r="B71" s="73" t="s">
        <v>229</v>
      </c>
      <c r="C71" s="81">
        <v>0.05</v>
      </c>
      <c r="D71" s="74">
        <v>0.03</v>
      </c>
      <c r="E71" s="74">
        <v>0.02</v>
      </c>
      <c r="F71" s="74">
        <v>0.05</v>
      </c>
      <c r="G71" s="74">
        <v>0.03</v>
      </c>
    </row>
    <row r="72" spans="2:7">
      <c r="B72" s="73" t="s">
        <v>230</v>
      </c>
      <c r="C72" s="81">
        <v>0.08</v>
      </c>
      <c r="D72" s="74">
        <v>0.04</v>
      </c>
      <c r="E72" s="74">
        <v>0.02</v>
      </c>
      <c r="F72" s="74">
        <v>0.08</v>
      </c>
      <c r="G72" s="74">
        <v>0.03</v>
      </c>
    </row>
    <row r="73" spans="2:7">
      <c r="B73" s="73" t="s">
        <v>231</v>
      </c>
      <c r="C73" s="81">
        <v>0.05</v>
      </c>
      <c r="D73" s="74">
        <v>0.02</v>
      </c>
      <c r="E73" s="74">
        <v>0.01</v>
      </c>
      <c r="F73" s="74">
        <v>0.05</v>
      </c>
      <c r="G73" s="74">
        <v>0.03</v>
      </c>
    </row>
    <row r="74" spans="2:7">
      <c r="B74" s="73" t="s">
        <v>232</v>
      </c>
      <c r="C74" s="81">
        <v>0.05</v>
      </c>
      <c r="D74" s="74">
        <v>0.02</v>
      </c>
      <c r="E74" s="74">
        <v>0.01</v>
      </c>
      <c r="F74" s="74">
        <v>0.05</v>
      </c>
      <c r="G74" s="74">
        <v>0.03</v>
      </c>
    </row>
    <row r="75" spans="2:7">
      <c r="B75" s="73" t="s">
        <v>233</v>
      </c>
      <c r="C75" s="81">
        <v>0.15</v>
      </c>
      <c r="D75" s="74">
        <v>0.08</v>
      </c>
      <c r="E75" s="74">
        <v>0.04</v>
      </c>
      <c r="F75" s="74">
        <v>0.15</v>
      </c>
      <c r="G75" s="74">
        <v>0.1</v>
      </c>
    </row>
    <row r="76" spans="2:7">
      <c r="B76" s="73" t="s">
        <v>234</v>
      </c>
      <c r="C76" s="81">
        <v>0.15</v>
      </c>
      <c r="D76" s="74">
        <v>0.08</v>
      </c>
      <c r="E76" s="74">
        <v>0.04</v>
      </c>
      <c r="F76" s="74">
        <v>0.15</v>
      </c>
      <c r="G76" s="74">
        <v>0.1</v>
      </c>
    </row>
    <row r="77" spans="2:7">
      <c r="B77" s="73" t="s">
        <v>235</v>
      </c>
      <c r="C77" s="81">
        <v>0.15</v>
      </c>
      <c r="D77" s="74">
        <v>0.08</v>
      </c>
      <c r="E77" s="74">
        <v>0.04</v>
      </c>
      <c r="F77" s="74">
        <v>0.15</v>
      </c>
      <c r="G77" s="74">
        <v>0.08</v>
      </c>
    </row>
    <row r="78" spans="2:7">
      <c r="B78" s="73" t="s">
        <v>236</v>
      </c>
      <c r="C78" s="81">
        <v>0.05</v>
      </c>
      <c r="D78" s="74">
        <v>0.04</v>
      </c>
      <c r="E78" s="74">
        <v>0.02</v>
      </c>
      <c r="F78" s="74">
        <v>0.05</v>
      </c>
      <c r="G78" s="74">
        <v>0.03</v>
      </c>
    </row>
    <row r="79" spans="2:7">
      <c r="B79" s="73" t="s">
        <v>237</v>
      </c>
      <c r="C79" s="81">
        <v>0.05</v>
      </c>
      <c r="D79" s="74">
        <v>0.04</v>
      </c>
      <c r="E79" s="74">
        <v>0.02</v>
      </c>
      <c r="F79" s="74">
        <v>0.05</v>
      </c>
      <c r="G79" s="74">
        <v>0.03</v>
      </c>
    </row>
    <row r="80" spans="2:7">
      <c r="B80" s="73" t="s">
        <v>238</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3E07B9-0A58-4341-B484-AD39CC5E12EA}"/>
</file>

<file path=customXml/itemProps2.xml><?xml version="1.0" encoding="utf-8"?>
<ds:datastoreItem xmlns:ds="http://schemas.openxmlformats.org/officeDocument/2006/customXml" ds:itemID="{92BEDF29-5A94-44B4-8532-A7292592B4B7}"/>
</file>

<file path=customXml/itemProps3.xml><?xml version="1.0" encoding="utf-8"?>
<ds:datastoreItem xmlns:ds="http://schemas.openxmlformats.org/officeDocument/2006/customXml" ds:itemID="{804AD719-1CC8-4465-B733-202612570F4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