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8"/>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BMT/BMT_20_FM1008/"/>
    </mc:Choice>
  </mc:AlternateContent>
  <xr:revisionPtr revIDLastSave="1" documentId="102_{32AD5BAA-76A2-4A0B-A820-3917796E1C58}" xr6:coauthVersionLast="40" xr6:coauthVersionMax="40" xr10:uidLastSave="{566F442D-1B39-4AAA-86B3-27285F943368}"/>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4" i="12" l="1"/>
  <c r="E13" i="12"/>
  <c r="E12" i="12"/>
  <c r="E11" i="12"/>
  <c r="E10" i="12"/>
  <c r="E9" i="12"/>
  <c r="C11" i="2"/>
  <c r="C19" i="11"/>
  <c r="C21" i="11"/>
  <c r="B5" i="12"/>
  <c r="C20" i="11"/>
  <c r="O14" i="15"/>
  <c r="R4" i="12"/>
  <c r="N4" i="12"/>
  <c r="B11" i="12"/>
  <c r="B9" i="12"/>
  <c r="B10" i="12"/>
  <c r="N36" i="15"/>
  <c r="N22" i="15"/>
  <c r="O35" i="15"/>
  <c r="O34" i="15"/>
  <c r="O33" i="15"/>
  <c r="O32" i="15"/>
  <c r="O31" i="15"/>
  <c r="O30" i="15"/>
  <c r="O29" i="15"/>
  <c r="O28" i="15"/>
  <c r="O36" i="15"/>
  <c r="O15" i="15"/>
  <c r="O16" i="15"/>
  <c r="O17" i="15"/>
  <c r="O18" i="15"/>
  <c r="O19" i="15"/>
  <c r="O20" i="15"/>
  <c r="O21" i="15"/>
  <c r="O22" i="15"/>
  <c r="X36" i="15"/>
  <c r="W36" i="15"/>
  <c r="V36" i="15"/>
  <c r="U36" i="15"/>
  <c r="T36" i="15"/>
  <c r="S36" i="15"/>
  <c r="R36" i="15"/>
  <c r="X22" i="15"/>
  <c r="W22" i="15"/>
  <c r="V22" i="15"/>
  <c r="U22" i="15"/>
  <c r="T22" i="15"/>
  <c r="S22" i="15"/>
  <c r="R22" i="15"/>
  <c r="S38" i="15"/>
  <c r="U38" i="15"/>
  <c r="R38" i="15"/>
  <c r="V38" i="15"/>
  <c r="W38" i="15"/>
  <c r="X38" i="15"/>
  <c r="T38" i="15"/>
  <c r="B12" i="12"/>
  <c r="B14" i="12"/>
  <c r="B13" i="12"/>
  <c r="I24" i="9"/>
  <c r="H24" i="9"/>
  <c r="G24" i="9"/>
  <c r="F24" i="9"/>
  <c r="E24" i="9"/>
  <c r="D24" i="9"/>
  <c r="S4" i="12"/>
  <c r="B16" i="12"/>
  <c r="P4" i="12"/>
  <c r="Q4" i="12"/>
  <c r="B17" i="12"/>
  <c r="O15" i="12"/>
  <c r="O33" i="12"/>
  <c r="O35" i="12"/>
  <c r="O32" i="12"/>
  <c r="O34" i="12"/>
  <c r="O36" i="12"/>
  <c r="O31" i="12"/>
  <c r="O30" i="12"/>
  <c r="O7" i="12"/>
  <c r="O24" i="12"/>
  <c r="O8" i="12"/>
  <c r="O17" i="12"/>
  <c r="O11" i="12"/>
  <c r="O28" i="12"/>
  <c r="O20" i="12"/>
  <c r="O5" i="12"/>
  <c r="O29" i="12"/>
  <c r="O21" i="12"/>
  <c r="O13" i="12"/>
  <c r="O16" i="12"/>
  <c r="O27" i="12"/>
  <c r="O25" i="12"/>
  <c r="O9" i="12"/>
  <c r="O26" i="12"/>
  <c r="O18" i="12"/>
  <c r="O10" i="12"/>
  <c r="O19" i="12"/>
  <c r="O12" i="12"/>
  <c r="O22" i="12"/>
  <c r="O14" i="12"/>
  <c r="O6" i="12"/>
  <c r="O23" i="12"/>
  <c r="B15" i="12"/>
  <c r="M5" i="12"/>
  <c r="S5" i="12"/>
  <c r="N5" i="12"/>
  <c r="N6" i="12"/>
  <c r="N7" i="12"/>
  <c r="N8" i="12"/>
  <c r="N9" i="12"/>
  <c r="N10" i="12"/>
  <c r="N11" i="12"/>
  <c r="N12" i="12"/>
  <c r="N13" i="12"/>
  <c r="N14" i="12"/>
  <c r="N15" i="12"/>
  <c r="N16" i="12"/>
  <c r="N17" i="12"/>
  <c r="N18" i="12"/>
  <c r="N19" i="12"/>
  <c r="N20" i="12"/>
  <c r="N21" i="12"/>
  <c r="N22" i="12"/>
  <c r="N23" i="12"/>
  <c r="N24" i="12"/>
  <c r="N25" i="12"/>
  <c r="N26" i="12"/>
  <c r="N27" i="12"/>
  <c r="N28" i="12"/>
  <c r="N29" i="12"/>
  <c r="N30" i="12"/>
  <c r="N31" i="12"/>
  <c r="N32" i="12"/>
  <c r="N33" i="12"/>
  <c r="N34" i="12"/>
  <c r="N35" i="12"/>
  <c r="N36" i="12"/>
  <c r="P5" i="12"/>
  <c r="Q5" i="12"/>
  <c r="R5" i="12"/>
  <c r="M6" i="12"/>
  <c r="S6" i="12"/>
  <c r="P6" i="12"/>
  <c r="Q6" i="12"/>
  <c r="R6" i="12"/>
  <c r="M7" i="12"/>
  <c r="S7" i="12"/>
  <c r="C21" i="2"/>
  <c r="B18" i="5"/>
  <c r="E17" i="5"/>
  <c r="C22" i="2"/>
  <c r="B19" i="5"/>
  <c r="E18" i="5"/>
  <c r="G4" i="7"/>
  <c r="G5" i="7"/>
  <c r="G4" i="5"/>
  <c r="G5" i="5"/>
  <c r="G6" i="5"/>
  <c r="G7" i="5"/>
  <c r="G8" i="5"/>
  <c r="G9" i="5"/>
  <c r="G10" i="5"/>
  <c r="G11" i="5"/>
  <c r="G12" i="5"/>
  <c r="G13" i="5"/>
  <c r="G14" i="5"/>
  <c r="B18" i="7"/>
  <c r="B17" i="7"/>
  <c r="B16" i="7"/>
  <c r="E17" i="7"/>
  <c r="H4" i="7"/>
  <c r="I4" i="7"/>
  <c r="H10" i="5"/>
  <c r="C20" i="2"/>
  <c r="B21" i="5"/>
  <c r="C19" i="2"/>
  <c r="B20" i="5"/>
  <c r="H5" i="7"/>
  <c r="I5" i="7"/>
  <c r="G6" i="7"/>
  <c r="J14" i="5"/>
  <c r="G15" i="5"/>
  <c r="H14" i="5"/>
  <c r="P7" i="12"/>
  <c r="Q7" i="12"/>
  <c r="R7" i="12"/>
  <c r="M8" i="12"/>
  <c r="S8" i="12"/>
  <c r="H6" i="5"/>
  <c r="H11" i="5"/>
  <c r="J5" i="5"/>
  <c r="J13" i="5"/>
  <c r="J11" i="5"/>
  <c r="J10" i="5"/>
  <c r="J9" i="5"/>
  <c r="J4" i="5"/>
  <c r="J12" i="5"/>
  <c r="J8" i="5"/>
  <c r="J7" i="5"/>
  <c r="J6" i="5"/>
  <c r="H12" i="5"/>
  <c r="H4" i="5"/>
  <c r="H13" i="5"/>
  <c r="H5" i="5"/>
  <c r="H7" i="5"/>
  <c r="H8" i="5"/>
  <c r="H9" i="5"/>
  <c r="C15" i="2"/>
  <c r="B19" i="7"/>
  <c r="K4" i="5"/>
  <c r="G7" i="7"/>
  <c r="H6" i="7"/>
  <c r="I6" i="7"/>
  <c r="H15" i="5"/>
  <c r="I15" i="5"/>
  <c r="J15" i="5"/>
  <c r="K15" i="5"/>
  <c r="G16" i="5"/>
  <c r="P8" i="12"/>
  <c r="Q8" i="12"/>
  <c r="R8" i="12"/>
  <c r="K10" i="5"/>
  <c r="K12" i="5"/>
  <c r="K8" i="5"/>
  <c r="K14" i="5"/>
  <c r="K7" i="5"/>
  <c r="K5" i="5"/>
  <c r="K6" i="5"/>
  <c r="K13" i="5"/>
  <c r="K11" i="5"/>
  <c r="K9" i="5"/>
  <c r="I13" i="5"/>
  <c r="M9" i="12"/>
  <c r="S9" i="12"/>
  <c r="I7" i="5"/>
  <c r="I8" i="5"/>
  <c r="I10" i="5"/>
  <c r="I9" i="5"/>
  <c r="I14" i="5"/>
  <c r="I12" i="5"/>
  <c r="I5" i="5"/>
  <c r="I6" i="5"/>
  <c r="I11" i="5"/>
  <c r="I4" i="5"/>
  <c r="P9" i="12"/>
  <c r="Q9" i="12"/>
  <c r="H16" i="5"/>
  <c r="J16" i="5"/>
  <c r="K16" i="5"/>
  <c r="G17" i="5"/>
  <c r="G8" i="7"/>
  <c r="H7" i="7"/>
  <c r="I7" i="7"/>
  <c r="J7" i="7"/>
  <c r="M10" i="12"/>
  <c r="J6" i="7"/>
  <c r="J5" i="7"/>
  <c r="J4" i="7"/>
  <c r="P10" i="12"/>
  <c r="P11" i="12"/>
  <c r="H8" i="7"/>
  <c r="I8" i="7"/>
  <c r="J8" i="7"/>
  <c r="G9" i="7"/>
  <c r="J17" i="5"/>
  <c r="K17" i="5"/>
  <c r="G18" i="5"/>
  <c r="H17" i="5"/>
  <c r="I17" i="5"/>
  <c r="I16" i="5"/>
  <c r="S10" i="12"/>
  <c r="M11" i="12"/>
  <c r="Q10" i="12"/>
  <c r="H9" i="7"/>
  <c r="I9" i="7"/>
  <c r="J9" i="7"/>
  <c r="G10" i="7"/>
  <c r="J18" i="5"/>
  <c r="K18" i="5"/>
  <c r="G19" i="5"/>
  <c r="H18" i="5"/>
  <c r="S11" i="12"/>
  <c r="Q11" i="12"/>
  <c r="P12" i="12"/>
  <c r="M12" i="12"/>
  <c r="G11" i="7"/>
  <c r="H10" i="7"/>
  <c r="I10" i="7"/>
  <c r="J10" i="7"/>
  <c r="I18" i="5"/>
  <c r="H19" i="5"/>
  <c r="I19" i="5"/>
  <c r="J19" i="5"/>
  <c r="K19" i="5"/>
  <c r="G20" i="5"/>
  <c r="S12" i="12"/>
  <c r="P13" i="12"/>
  <c r="Q12" i="12"/>
  <c r="M13" i="12"/>
  <c r="G12" i="7"/>
  <c r="H11" i="7"/>
  <c r="I11" i="7"/>
  <c r="J11" i="7"/>
  <c r="H20" i="5"/>
  <c r="I20" i="5"/>
  <c r="J20" i="5"/>
  <c r="K20" i="5"/>
  <c r="G21" i="5"/>
  <c r="S13" i="12"/>
  <c r="P14" i="12"/>
  <c r="Q13" i="12"/>
  <c r="M14" i="12"/>
  <c r="J21" i="5"/>
  <c r="K21" i="5"/>
  <c r="G22" i="5"/>
  <c r="H21" i="5"/>
  <c r="H12" i="7"/>
  <c r="I12" i="7"/>
  <c r="J12" i="7"/>
  <c r="G13" i="7"/>
  <c r="S14" i="12"/>
  <c r="P15" i="12"/>
  <c r="Q14" i="12"/>
  <c r="M15" i="12"/>
  <c r="I21" i="5"/>
  <c r="H13" i="7"/>
  <c r="I13" i="7"/>
  <c r="J13" i="7"/>
  <c r="G14" i="7"/>
  <c r="J22" i="5"/>
  <c r="K22" i="5"/>
  <c r="G23" i="5"/>
  <c r="H22" i="5"/>
  <c r="I22" i="5"/>
  <c r="S15" i="12"/>
  <c r="P16" i="12"/>
  <c r="Q15" i="12"/>
  <c r="M16" i="12"/>
  <c r="H23" i="5"/>
  <c r="I23" i="5"/>
  <c r="J23" i="5"/>
  <c r="K23" i="5"/>
  <c r="G24" i="5"/>
  <c r="G15" i="7"/>
  <c r="H14" i="7"/>
  <c r="I14" i="7"/>
  <c r="J14" i="7"/>
  <c r="S16" i="12"/>
  <c r="P17" i="12"/>
  <c r="Q16" i="12"/>
  <c r="M17" i="12"/>
  <c r="H24" i="5"/>
  <c r="I24" i="5"/>
  <c r="J24" i="5"/>
  <c r="K24" i="5"/>
  <c r="B11" i="5"/>
  <c r="B12" i="5"/>
  <c r="G25" i="5"/>
  <c r="G16" i="7"/>
  <c r="H15" i="7"/>
  <c r="I15" i="7"/>
  <c r="J15" i="7"/>
  <c r="S17" i="12"/>
  <c r="P18" i="12"/>
  <c r="Q17" i="12"/>
  <c r="M18" i="12"/>
  <c r="H16" i="7"/>
  <c r="I16" i="7"/>
  <c r="J16" i="7"/>
  <c r="G17" i="7"/>
  <c r="J25" i="5"/>
  <c r="K25" i="5"/>
  <c r="G26" i="5"/>
  <c r="H25" i="5"/>
  <c r="I25" i="5"/>
  <c r="S18" i="12"/>
  <c r="P19" i="12"/>
  <c r="Q18" i="12"/>
  <c r="M19" i="12"/>
  <c r="H17" i="7"/>
  <c r="I17" i="7"/>
  <c r="J17" i="7"/>
  <c r="G18" i="7"/>
  <c r="J26" i="5"/>
  <c r="K26" i="5"/>
  <c r="G27" i="5"/>
  <c r="H26" i="5"/>
  <c r="I26" i="5"/>
  <c r="S19" i="12"/>
  <c r="P20" i="12"/>
  <c r="Q19" i="12"/>
  <c r="M20" i="12"/>
  <c r="E4" i="12"/>
  <c r="E5" i="12"/>
  <c r="E6" i="12"/>
  <c r="E19" i="12"/>
  <c r="F26" i="12"/>
  <c r="E18" i="12"/>
  <c r="E26" i="12"/>
  <c r="E21" i="12"/>
  <c r="H26" i="12"/>
  <c r="E17" i="12"/>
  <c r="D26" i="12"/>
  <c r="E22" i="12"/>
  <c r="I26" i="12"/>
  <c r="E20" i="12"/>
  <c r="G26" i="12"/>
  <c r="G19" i="7"/>
  <c r="H18" i="7"/>
  <c r="I18" i="7"/>
  <c r="J18" i="7"/>
  <c r="H27" i="5"/>
  <c r="I27" i="5"/>
  <c r="J27" i="5"/>
  <c r="K27" i="5"/>
  <c r="G28" i="5"/>
  <c r="S20" i="12"/>
  <c r="P21" i="12"/>
  <c r="Q20" i="12"/>
  <c r="M21" i="12"/>
  <c r="G27" i="12"/>
  <c r="G31" i="12"/>
  <c r="G30" i="12"/>
  <c r="G28" i="12"/>
  <c r="G29" i="12"/>
  <c r="G32" i="12"/>
  <c r="G33" i="12"/>
  <c r="H31" i="12"/>
  <c r="H32" i="12"/>
  <c r="H27" i="12"/>
  <c r="H28" i="12"/>
  <c r="H29" i="12"/>
  <c r="H30" i="12"/>
  <c r="H33" i="12"/>
  <c r="I33" i="12"/>
  <c r="I31" i="12"/>
  <c r="I27" i="12"/>
  <c r="I28" i="12"/>
  <c r="I32" i="12"/>
  <c r="I30" i="12"/>
  <c r="I29" i="12"/>
  <c r="D32" i="12"/>
  <c r="D30" i="12"/>
  <c r="D27" i="12"/>
  <c r="D29" i="12"/>
  <c r="D28" i="12"/>
  <c r="D33" i="12"/>
  <c r="D31" i="12"/>
  <c r="F32" i="12"/>
  <c r="F33" i="12"/>
  <c r="F27" i="12"/>
  <c r="F28" i="12"/>
  <c r="F29" i="12"/>
  <c r="F31" i="12"/>
  <c r="F30" i="12"/>
  <c r="E32" i="12"/>
  <c r="E29" i="12"/>
  <c r="E31" i="12"/>
  <c r="E27" i="12"/>
  <c r="E28" i="12"/>
  <c r="E33" i="12"/>
  <c r="E30" i="12"/>
  <c r="H28" i="5"/>
  <c r="I28" i="5"/>
  <c r="J28" i="5"/>
  <c r="K28" i="5"/>
  <c r="G29" i="5"/>
  <c r="G20" i="7"/>
  <c r="H19" i="7"/>
  <c r="I19" i="7"/>
  <c r="J19" i="7"/>
  <c r="S21" i="12"/>
  <c r="P22" i="12"/>
  <c r="Q21" i="12"/>
  <c r="M22" i="12"/>
  <c r="J27" i="12"/>
  <c r="J30" i="12"/>
  <c r="J32" i="12"/>
  <c r="J31" i="12"/>
  <c r="J28" i="12"/>
  <c r="J33" i="12"/>
  <c r="J29" i="12"/>
  <c r="H20" i="7"/>
  <c r="I20" i="7"/>
  <c r="J20" i="7"/>
  <c r="G21" i="7"/>
  <c r="J29" i="5"/>
  <c r="K29" i="5"/>
  <c r="H29" i="5"/>
  <c r="S22" i="12"/>
  <c r="P23" i="12"/>
  <c r="Q22" i="12"/>
  <c r="M23" i="12"/>
  <c r="J5" i="12"/>
  <c r="H21" i="7"/>
  <c r="I21" i="7"/>
  <c r="J21" i="7"/>
  <c r="G22" i="7"/>
  <c r="I29" i="5"/>
  <c r="B13" i="5"/>
  <c r="S23" i="12"/>
  <c r="P24" i="12"/>
  <c r="Q23" i="12"/>
  <c r="M24" i="12"/>
  <c r="R9" i="12"/>
  <c r="R10" i="12"/>
  <c r="R11" i="12"/>
  <c r="R12" i="12"/>
  <c r="R13" i="12"/>
  <c r="R14" i="12"/>
  <c r="R15" i="12"/>
  <c r="R16" i="12"/>
  <c r="R17" i="12"/>
  <c r="R18" i="12"/>
  <c r="R19" i="12"/>
  <c r="R20" i="12"/>
  <c r="R21" i="12"/>
  <c r="R22" i="12"/>
  <c r="R23" i="12"/>
  <c r="T4" i="12"/>
  <c r="U4" i="12"/>
  <c r="G23" i="7"/>
  <c r="H22" i="7"/>
  <c r="I22" i="7"/>
  <c r="J22" i="7"/>
  <c r="S24" i="12"/>
  <c r="P25" i="12"/>
  <c r="Q24" i="12"/>
  <c r="M25" i="12"/>
  <c r="R24" i="12"/>
  <c r="T5" i="12"/>
  <c r="U5" i="12"/>
  <c r="G24" i="7"/>
  <c r="H23" i="7"/>
  <c r="I23" i="7"/>
  <c r="J23" i="7"/>
  <c r="S25" i="12"/>
  <c r="P26" i="12"/>
  <c r="Q25" i="12"/>
  <c r="M26" i="12"/>
  <c r="R25" i="12"/>
  <c r="T6" i="12"/>
  <c r="U6" i="12"/>
  <c r="H24" i="7"/>
  <c r="I24" i="7"/>
  <c r="J24" i="7"/>
  <c r="G25" i="7"/>
  <c r="S26" i="12"/>
  <c r="P27" i="12"/>
  <c r="Q26" i="12"/>
  <c r="M27" i="12"/>
  <c r="R26" i="12"/>
  <c r="T7" i="12"/>
  <c r="U7" i="12"/>
  <c r="H25" i="7"/>
  <c r="I25" i="7"/>
  <c r="J25" i="7"/>
  <c r="G26" i="7"/>
  <c r="S27" i="12"/>
  <c r="P28" i="12"/>
  <c r="Q27" i="12"/>
  <c r="M28" i="12"/>
  <c r="R27" i="12"/>
  <c r="T8" i="12"/>
  <c r="U8" i="12"/>
  <c r="G27" i="7"/>
  <c r="H26" i="7"/>
  <c r="I26" i="7"/>
  <c r="J26" i="7"/>
  <c r="S28" i="12"/>
  <c r="P29" i="12"/>
  <c r="Q28" i="12"/>
  <c r="M29" i="12"/>
  <c r="R28" i="12"/>
  <c r="T9" i="12"/>
  <c r="U9" i="12"/>
  <c r="G28" i="7"/>
  <c r="H27" i="7"/>
  <c r="I27" i="7"/>
  <c r="J27" i="7"/>
  <c r="Q29" i="12"/>
  <c r="P30" i="12"/>
  <c r="Q30" i="12"/>
  <c r="M30" i="12"/>
  <c r="S29" i="12"/>
  <c r="R29" i="12"/>
  <c r="R30" i="12"/>
  <c r="T10" i="12"/>
  <c r="U10" i="12"/>
  <c r="H28" i="7"/>
  <c r="I28" i="7"/>
  <c r="J28" i="7"/>
  <c r="G29" i="7"/>
  <c r="P31" i="12"/>
  <c r="Q31" i="12"/>
  <c r="S30" i="12"/>
  <c r="M31" i="12"/>
  <c r="M32" i="12"/>
  <c r="R31" i="12"/>
  <c r="T11" i="12"/>
  <c r="U11" i="12"/>
  <c r="H29" i="7"/>
  <c r="I29" i="7"/>
  <c r="J29" i="7"/>
  <c r="B11" i="7"/>
  <c r="B12" i="7"/>
  <c r="M33" i="12"/>
  <c r="S32" i="12"/>
  <c r="P32" i="12"/>
  <c r="Q32" i="12"/>
  <c r="S31" i="12"/>
  <c r="R32" i="12"/>
  <c r="T12" i="12"/>
  <c r="U12" i="12"/>
  <c r="M34" i="12"/>
  <c r="S33" i="12"/>
  <c r="P33" i="12"/>
  <c r="Q33" i="12"/>
  <c r="R33" i="12"/>
  <c r="T13" i="12"/>
  <c r="U13" i="12"/>
  <c r="S34" i="12"/>
  <c r="M35" i="12"/>
  <c r="P34" i="12"/>
  <c r="Q34" i="12"/>
  <c r="R34" i="12"/>
  <c r="T14" i="12"/>
  <c r="U14" i="12"/>
  <c r="M36" i="12"/>
  <c r="S35" i="12"/>
  <c r="P35" i="12"/>
  <c r="Q35" i="12"/>
  <c r="R35" i="12"/>
  <c r="T15" i="12"/>
  <c r="U15" i="12"/>
  <c r="S36" i="12"/>
  <c r="P36" i="12"/>
  <c r="Q36" i="12"/>
  <c r="R36" i="12"/>
  <c r="T16" i="12"/>
  <c r="U16" i="12"/>
  <c r="T17" i="12"/>
  <c r="U17" i="12"/>
  <c r="T18" i="12"/>
  <c r="U18" i="12"/>
  <c r="T19" i="12"/>
  <c r="U19" i="12"/>
  <c r="T20" i="12"/>
  <c r="U20" i="12"/>
  <c r="T21" i="12"/>
  <c r="U21" i="12"/>
  <c r="T22" i="12"/>
  <c r="U22" i="12"/>
  <c r="T23" i="12"/>
  <c r="U23" i="12"/>
  <c r="T24" i="12"/>
  <c r="U24" i="12"/>
  <c r="T25" i="12"/>
  <c r="U25" i="12"/>
  <c r="T26" i="12"/>
  <c r="U26" i="12"/>
  <c r="T27" i="12"/>
  <c r="U27" i="12"/>
  <c r="T28" i="12"/>
  <c r="U28" i="12"/>
  <c r="T29" i="12"/>
  <c r="U29" i="12"/>
  <c r="T30" i="12"/>
  <c r="U30" i="12"/>
  <c r="T31" i="12"/>
  <c r="U31" i="12"/>
  <c r="T32" i="12"/>
  <c r="U32" i="12"/>
  <c r="T33" i="12"/>
  <c r="U33" i="12"/>
  <c r="T34" i="12"/>
  <c r="U34" i="12"/>
  <c r="T35" i="12"/>
  <c r="U35" i="12"/>
  <c r="T36" i="12"/>
  <c r="U36" i="12"/>
  <c r="U37" i="12"/>
  <c r="C37" i="11"/>
</calcChain>
</file>

<file path=xl/sharedStrings.xml><?xml version="1.0" encoding="utf-8"?>
<sst xmlns="http://schemas.openxmlformats.org/spreadsheetml/2006/main" count="441" uniqueCount="286">
  <si>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</si>
  <si>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</si>
  <si>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</si>
  <si>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</si>
  <si>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</si>
  <si>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</si>
  <si>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</si>
  <si>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</si>
  <si>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</si>
  <si>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</si>
  <si>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</si>
  <si>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</si>
  <si>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</si>
  <si>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</si>
  <si>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</si>
  <si>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</si>
  <si>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</si>
  <si>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</si>
  <si>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</si>
  <si>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</si>
  <si>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</si>
  <si>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</si>
  <si>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</si>
  <si>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</si>
  <si>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</si>
  <si>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</si>
  <si>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</si>
  <si>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</si>
  <si>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</si>
  <si>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</si>
  <si>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</si>
  <si>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</si>
  <si>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</si>
  <si>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</si>
  <si>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</si>
  <si>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</si>
  <si>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</si>
  <si>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</si>
  <si>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</si>
  <si>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</si>
  <si>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</si>
  <si>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</si>
  <si>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</si>
  <si>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</si>
  <si>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</si>
  <si>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</si>
  <si>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</si>
  <si>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Title:</t>
  </si>
  <si>
    <t>FM 1008 Turn Lanes</t>
  </si>
  <si>
    <t>County</t>
  </si>
  <si>
    <t>Liberty</t>
  </si>
  <si>
    <t>Data entered by the sponsors</t>
  </si>
  <si>
    <t>Facility Type</t>
  </si>
  <si>
    <t>Non-Freeway</t>
  </si>
  <si>
    <t>HGAC regional travel demand model data provided by HGAC upon request</t>
  </si>
  <si>
    <t>Street Name:</t>
  </si>
  <si>
    <t>FM 1008</t>
  </si>
  <si>
    <t>Populated based on selection in cell "C18"</t>
  </si>
  <si>
    <t>Limits (From)</t>
  </si>
  <si>
    <t>CR 632</t>
  </si>
  <si>
    <t>Benefits calculated by the template</t>
  </si>
  <si>
    <t>Limits (To)</t>
  </si>
  <si>
    <t>N Winfree St</t>
  </si>
  <si>
    <t>Length (in Miles)</t>
  </si>
  <si>
    <t>Application ID Number:</t>
  </si>
  <si>
    <t>Sponsor ID Number (CSJ, etc.):</t>
  </si>
  <si>
    <t>N/A</t>
  </si>
  <si>
    <t>Proposed Improvements Information</t>
  </si>
  <si>
    <r>
      <t xml:space="preserve">Year Open to Traffic? </t>
    </r>
    <r>
      <rPr>
        <b/>
        <sz val="11"/>
        <color theme="1"/>
        <rFont val="Calibri"/>
        <family val="2"/>
        <scheme val="minor"/>
      </rPr>
      <t>(Must be &gt;=2021)</t>
    </r>
  </si>
  <si>
    <t>Safety Improvement Type</t>
  </si>
  <si>
    <t>Add Left Turn Lane</t>
  </si>
  <si>
    <t>Work Type Code</t>
  </si>
  <si>
    <t>Appropriate Crash Reduction Factor (%):</t>
  </si>
  <si>
    <t>Service Life (years):</t>
  </si>
  <si>
    <t>Daily Travel Demand</t>
  </si>
  <si>
    <t>2018 Volume (ADT)</t>
  </si>
  <si>
    <t xml:space="preserve">2018 Peak Period traffic Volume </t>
  </si>
  <si>
    <t>2018 Peak Period Capacity</t>
  </si>
  <si>
    <t>Estimated 2025 Peak Period Traffic Volume</t>
  </si>
  <si>
    <t>2025 Peak Period Capacity</t>
  </si>
  <si>
    <t>Estimate 2045 Peak Period Traffic Volume</t>
  </si>
  <si>
    <t>2045 Peak Period Capacity</t>
  </si>
  <si>
    <t>OUTPUTS</t>
  </si>
  <si>
    <t>Benefit Results</t>
  </si>
  <si>
    <t>Discounted Safety Benefits @ 7% (2018 $, '000s)</t>
  </si>
  <si>
    <t>Estimated Travel Demand</t>
  </si>
  <si>
    <t>Volume</t>
  </si>
  <si>
    <t>Demand Growth</t>
  </si>
  <si>
    <t>Facility V/C Ratio</t>
  </si>
  <si>
    <t>Benefit Cap</t>
  </si>
  <si>
    <t>Potential Value of Crash Savings (2018 $)</t>
  </si>
  <si>
    <t>Use in Analysis?</t>
  </si>
  <si>
    <t>Value of Crash Savings (2018 $, '000s)</t>
  </si>
  <si>
    <t>Savings Discounted @ 7% ($ 000')</t>
  </si>
  <si>
    <t>Estimated Volume in Year Open to Traffic</t>
  </si>
  <si>
    <t>Crash Savings in Year Open to Traffic</t>
  </si>
  <si>
    <t>n/a</t>
  </si>
  <si>
    <t>Years to include in BCA Analysis</t>
  </si>
  <si>
    <t xml:space="preserve">Estimated Daily VMT </t>
  </si>
  <si>
    <t>Potential Crash Savings in year open to traffic</t>
  </si>
  <si>
    <t>Number of Days considered in a Year</t>
  </si>
  <si>
    <t>Annual VMT</t>
  </si>
  <si>
    <t>Estimated Crashes per 100 million VMT</t>
  </si>
  <si>
    <t>2018-2025 Demand Growth</t>
  </si>
  <si>
    <t>Death_Rate</t>
  </si>
  <si>
    <t>2025-2045 Demand Growth</t>
  </si>
  <si>
    <t>Incap_Injry_Rate</t>
  </si>
  <si>
    <t>2018-2045 Demand Growth</t>
  </si>
  <si>
    <t>Nonincap_Injry_Rate</t>
  </si>
  <si>
    <t>2018 V/C Ratio</t>
  </si>
  <si>
    <t>Poss_Injry_Rate</t>
  </si>
  <si>
    <t>2025 V/C Ratio</t>
  </si>
  <si>
    <t>Non_Injry_Rate</t>
  </si>
  <si>
    <t>2045 V/C Ratio</t>
  </si>
  <si>
    <t>Unkn_Injry_Rate</t>
  </si>
  <si>
    <t>2018-2025 V/C Growth</t>
  </si>
  <si>
    <t>2025-2045 V/C Growth</t>
  </si>
  <si>
    <t>Expected Crashes</t>
  </si>
  <si>
    <t>2018-2045 V/C Growth</t>
  </si>
  <si>
    <t>Death_Cnt</t>
  </si>
  <si>
    <t>Incap_Injry_Cnt</t>
  </si>
  <si>
    <t>Nonincap_Injry_Cnt</t>
  </si>
  <si>
    <t>Poss_Injry_Cnt</t>
  </si>
  <si>
    <t>Non_Injry_Cnt</t>
  </si>
  <si>
    <t>Unkn_Injry_Cnt</t>
  </si>
  <si>
    <t>Crash Data on Abbreviated Injury Scale (AIS)</t>
  </si>
  <si>
    <t>Sum</t>
  </si>
  <si>
    <t>AIS 0</t>
  </si>
  <si>
    <t>No Injuries</t>
  </si>
  <si>
    <t>AIS 1</t>
  </si>
  <si>
    <t>Minor</t>
  </si>
  <si>
    <t>AIS 2</t>
  </si>
  <si>
    <t>Moderate</t>
  </si>
  <si>
    <t>AIS 3</t>
  </si>
  <si>
    <t>Serious</t>
  </si>
  <si>
    <t>AIS 4</t>
  </si>
  <si>
    <t>Severe</t>
  </si>
  <si>
    <t>AIS 5</t>
  </si>
  <si>
    <t>Critical</t>
  </si>
  <si>
    <t>AIS 6</t>
  </si>
  <si>
    <t>Unrevivable</t>
  </si>
  <si>
    <t>2018 Call For Projects - Benefit-Cost Analysis Assumptions*</t>
  </si>
  <si>
    <t>Common Values:</t>
  </si>
  <si>
    <t>Base Year for Analysis</t>
  </si>
  <si>
    <t>Real Discount Rate</t>
  </si>
  <si>
    <t>Safety Analysis Values:</t>
  </si>
  <si>
    <t>Value of Statistical Life (VSL), 2018 $</t>
  </si>
  <si>
    <t>Values for non-fatal injuries provided in "Value of Statistical Life" tab.</t>
  </si>
  <si>
    <t>Delay Analysis Values:</t>
  </si>
  <si>
    <t>Value of Travel Time (VoTT), 2018 $</t>
  </si>
  <si>
    <t>Real wage growth rate</t>
  </si>
  <si>
    <t>Emissions Reduction Values:</t>
  </si>
  <si>
    <t>Volatile Organic Compounds (VOCs), $ / metric ton (2018 $)</t>
  </si>
  <si>
    <t>Nitrogen oxides (NOx), $ / metric ton (2018 $)</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</si>
  <si>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</si>
  <si>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</si>
  <si>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Applicable Project Life</t>
  </si>
  <si>
    <t>See Texas Guide to Accepted Mobile Source Emission Reduction Strategies (MOSER), page A.8.9</t>
  </si>
  <si>
    <t>2017 Crash Rates</t>
  </si>
  <si>
    <t>K</t>
  </si>
  <si>
    <t>Fatalities</t>
  </si>
  <si>
    <t>Brazoria</t>
  </si>
  <si>
    <t xml:space="preserve">Freeway </t>
  </si>
  <si>
    <t>A</t>
  </si>
  <si>
    <t>Suspected Serious Injuries</t>
  </si>
  <si>
    <t>Chambers</t>
  </si>
  <si>
    <t>B</t>
  </si>
  <si>
    <t>Non-Incapacitating Injuries</t>
  </si>
  <si>
    <t>Fort Bend</t>
  </si>
  <si>
    <t>C</t>
  </si>
  <si>
    <t>Possible Injuries</t>
  </si>
  <si>
    <t>Galveston</t>
  </si>
  <si>
    <t>O</t>
  </si>
  <si>
    <t>Non-Injuries</t>
  </si>
  <si>
    <t>Harris</t>
  </si>
  <si>
    <t>U</t>
  </si>
  <si>
    <t>Unknown Injuries</t>
  </si>
  <si>
    <t>Montgomery</t>
  </si>
  <si>
    <t>Waller</t>
  </si>
  <si>
    <t>Freeway Crash Rates</t>
  </si>
  <si>
    <t>Freeway Crashes</t>
  </si>
  <si>
    <t>Crash Rate</t>
  </si>
  <si>
    <t>Freeway VMT</t>
  </si>
  <si>
    <t>Daily</t>
  </si>
  <si>
    <t>Annual</t>
  </si>
  <si>
    <t>Crash</t>
  </si>
  <si>
    <t xml:space="preserve">Galveston </t>
  </si>
  <si>
    <t>Total</t>
  </si>
  <si>
    <t>Non-Freeway Crash Rates</t>
  </si>
  <si>
    <t>Non-Freeway Crashes</t>
  </si>
  <si>
    <t>Non-Freeway VMT</t>
  </si>
  <si>
    <t>GRAND TOTAL</t>
  </si>
  <si>
    <t>Value of Injuries, US DOT BCA Guidance for Discretionary Grant Programs (2018)</t>
  </si>
  <si>
    <t>AIS Level</t>
  </si>
  <si>
    <t>Severity</t>
  </si>
  <si>
    <t>Fraction of VSL</t>
  </si>
  <si>
    <t>Unit value ($2017)</t>
  </si>
  <si>
    <t>Unsurvivable</t>
  </si>
  <si>
    <t>CRIS Data Conversion to AIS, TIGER BCA Resource Guide (2014)</t>
  </si>
  <si>
    <t>Sum(Prob)</t>
  </si>
  <si>
    <t>Source:</t>
  </si>
  <si>
    <t>http://onlinemanuals.txdot.gov/txdotmanuals/hsi/hsip_work_codes_table.htm</t>
  </si>
  <si>
    <t>Work Type (TxDOT HSIP)</t>
  </si>
  <si>
    <t>Work Code</t>
  </si>
  <si>
    <t>Crash Reduction Factor</t>
  </si>
  <si>
    <t>Service life</t>
  </si>
  <si>
    <t>Install Warning/Guide Signs</t>
  </si>
  <si>
    <t>Install STOP Signs</t>
  </si>
  <si>
    <t>Install Intersection Flashing Beacon</t>
  </si>
  <si>
    <t>Modernize Intersection Flashing Beacon</t>
  </si>
  <si>
    <t>Install Traffic Signal</t>
  </si>
  <si>
    <t>Improve Traffic Signals</t>
  </si>
  <si>
    <t>Install Pedestrian Signal</t>
  </si>
  <si>
    <t>Interconnect Signals</t>
  </si>
  <si>
    <t>Over height Warning System</t>
  </si>
  <si>
    <t>Install Delineators</t>
  </si>
  <si>
    <t>Install School Zones</t>
  </si>
  <si>
    <t>Replace Flashing Beacon with a Traffic Signal</t>
  </si>
  <si>
    <t>Install Overhead Guide Signs</t>
  </si>
  <si>
    <t>Convert 2-way STOP Signs to 4-way STOP Signs</t>
  </si>
  <si>
    <t>Install Advance Warning Signals (Intersection — Existing Signal, Flashing Beacon or STOP Signs)</t>
  </si>
  <si>
    <t>Install Advance Warning Signals (Curve)</t>
  </si>
  <si>
    <t>Install Advance Warning Signals and Signs (Intersection — Existing Signal, Flashing Beacon or STOP Signs)</t>
  </si>
  <si>
    <t>Install Advance Warning Signals and Signs (Curve)</t>
  </si>
  <si>
    <t>Install Advance Warning Signals and/or Signs (Intersection — Uncontrolled , No Existing Advance Warning)</t>
  </si>
  <si>
    <t>Install Advance Warning Signals (Intersection — Existing Warning Signs)</t>
  </si>
  <si>
    <t>Install Advance Warning Signs (Intersection — Existing Warning Signals</t>
  </si>
  <si>
    <t>Install Advance Warning Signals (Curve — Existing Warning Signs)</t>
  </si>
  <si>
    <t>Install Advance Warning Signs (Curve — Existing Warning Signals)</t>
  </si>
  <si>
    <t>Improve Pedestrian Signals</t>
  </si>
  <si>
    <t>Install Advance Warning Signals and Signs</t>
  </si>
  <si>
    <t>Improve School Zone</t>
  </si>
  <si>
    <t>Convert Median Barrier</t>
  </si>
  <si>
    <t>Install Median Barrier</t>
  </si>
  <si>
    <t>Install Raised Median</t>
  </si>
  <si>
    <t>Flatten Side Slope</t>
  </si>
  <si>
    <t>Modernize Bridge Rail and Approach Guardrail</t>
  </si>
  <si>
    <t>Improve Guardrail to Design Standards</t>
  </si>
  <si>
    <t>Install Protection</t>
  </si>
  <si>
    <t>Safety Treat Fixed Objects</t>
  </si>
  <si>
    <t>Install Impact Attenuation System</t>
  </si>
  <si>
    <t>Widen Bridge</t>
  </si>
  <si>
    <t>Install Curb – Control of Access</t>
  </si>
  <si>
    <t>Improve Impact Attenuation System</t>
  </si>
  <si>
    <t>Resurfacing</t>
  </si>
  <si>
    <t>Safety Lighting</t>
  </si>
  <si>
    <t>Safety Lighting at Intersection</t>
  </si>
  <si>
    <t>Install Pavement Markings</t>
  </si>
  <si>
    <t>Install Edge Marking</t>
  </si>
  <si>
    <t>Install Pedestrian Crosswalk</t>
  </si>
  <si>
    <t>Install Centerline Striping</t>
  </si>
  <si>
    <t>Install Sidewalks</t>
  </si>
  <si>
    <t>Modernize Facility to Design Standards</t>
  </si>
  <si>
    <t>Widen Lane(s)</t>
  </si>
  <si>
    <t>Widen Paved Shoulder (to 5 ft. or less)</t>
  </si>
  <si>
    <t>Construct Paved Shoulders (1 – 4 ft.)</t>
  </si>
  <si>
    <t>Improve Vertical Alignment</t>
  </si>
  <si>
    <t>Improve Horizontal Alignment</t>
  </si>
  <si>
    <t>Increase Superelevation</t>
  </si>
  <si>
    <t>Construct Turn Arounds</t>
  </si>
  <si>
    <t>Add Acceleration/Deceleration Lanes</t>
  </si>
  <si>
    <t>Grade Separation</t>
  </si>
  <si>
    <t>Construct Interchange</t>
  </si>
  <si>
    <t>Close Crossover</t>
  </si>
  <si>
    <t>Add Through Lane</t>
  </si>
  <si>
    <t>Install Continuous Turn Lane</t>
  </si>
  <si>
    <t>Lengthen Left Turn Lane</t>
  </si>
  <si>
    <t>Add Right Turn Lane</t>
  </si>
  <si>
    <t>Lengthen Right Turn Lane</t>
  </si>
  <si>
    <t>Construct Pedestrian Over/Under Pass</t>
  </si>
  <si>
    <t>Increase Turning Radius</t>
  </si>
  <si>
    <t>Convert to One-Way Frontage Roads</t>
  </si>
  <si>
    <t>Increase Vertical Clearance (Lower Grade)</t>
  </si>
  <si>
    <t>Increase Vertical Clearance (Remove Structure)</t>
  </si>
  <si>
    <t>Construct Median Crossover</t>
  </si>
  <si>
    <t>Remove Raised Median/Concrete Island</t>
  </si>
  <si>
    <t>Texturize Shoulders (rolled-in or milled-in)</t>
  </si>
  <si>
    <t>Texturize Shoulders (Profile Pavement Markers)</t>
  </si>
  <si>
    <t>Widen Median Opening for Storage</t>
  </si>
  <si>
    <t>Widen Paved Shoulders (to &gt; 5 ft.)</t>
  </si>
  <si>
    <r>
      <t>Construct Paved Shoulders (</t>
    </r>
    <r>
      <rPr>
        <u/>
        <sz val="11"/>
        <color theme="1"/>
        <rFont val="Calibri"/>
        <family val="2"/>
        <scheme val="minor"/>
      </rPr>
      <t>&gt;</t>
    </r>
    <r>
      <rPr>
        <sz val="11"/>
        <color theme="1"/>
        <rFont val="Calibri"/>
        <family val="2"/>
        <scheme val="minor"/>
      </rPr>
      <t xml:space="preserve"> 5ft)</t>
    </r>
  </si>
  <si>
    <t>Convert 2-Lane Facility to 4-Lane Divided</t>
  </si>
  <si>
    <t>Install Grass Median on Undivided Facility</t>
  </si>
  <si>
    <t>Install Passing Lanes on 2-Lane Road</t>
  </si>
  <si>
    <t>Centerline Texturing</t>
  </si>
  <si>
    <t>Install Transverse Rumble Strips at Rural Intersection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</si>
</sst>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89">
    <xf numFmtId="0" fontId="0" fillId="0" borderId="0" xfId="0"/>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8" fontId="0" fillId="0" borderId="1" xfId="0" applyNumberFormat="1" applyBorder="1" applyAlignment="1">
      <alignment vertical="top"/>
    </xf>
    <xf numFmtId="165" fontId="0" fillId="0" borderId="1" xfId="0" applyNumberFormat="1" applyFill="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5" fontId="0" fillId="6" borderId="1" xfId="2" applyNumberFormat="1" applyFont="1" applyFill="1" applyBorder="1" applyAlignment="1" applyProtection="1">
      <alignment horizontal="center"/>
    </xf>
    <xf numFmtId="168" fontId="0" fillId="12" borderId="1" xfId="0" applyNumberFormat="1" applyFont="1" applyFill="1" applyBorder="1" applyAlignment="1" applyProtection="1">
      <alignment horizontal="center"/>
      <protection locked="0"/>
    </xf>
    <xf numFmtId="165" fontId="0" fillId="7" borderId="1" xfId="2" applyNumberFormat="1" applyFont="1" applyFill="1" applyBorder="1" applyAlignment="1" applyProtection="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9" fontId="0" fillId="0" borderId="1" xfId="0" applyNumberFormat="1" applyFill="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0" fontId="0" fillId="0" borderId="1" xfId="0" applyFill="1" applyBorder="1"/>
    <xf numFmtId="170" fontId="0" fillId="0" borderId="1" xfId="3" applyNumberFormat="1" applyFont="1" applyFill="1" applyBorder="1"/>
    <xf numFmtId="0" fontId="11" fillId="0" borderId="4" xfId="0" applyFont="1" applyBorder="1"/>
    <xf numFmtId="0" fontId="0" fillId="0" borderId="4" xfId="0" applyBorder="1"/>
    <xf numFmtId="3" fontId="0" fillId="7" borderId="1" xfId="0" applyNumberFormat="1" applyFont="1" applyFill="1" applyBorder="1" applyAlignment="1" applyProtection="1">
      <alignment horizontal="center"/>
    </xf>
    <xf numFmtId="0" fontId="0" fillId="0" borderId="1" xfId="0" applyFont="1" applyBorder="1"/>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Fill="1" applyBorder="1"/>
    <xf numFmtId="6" fontId="0" fillId="0" borderId="1" xfId="0" applyNumberFormat="1" applyFill="1" applyBorder="1" applyAlignment="1">
      <alignment vertical="top"/>
    </xf>
    <xf numFmtId="0" fontId="0" fillId="0" borderId="1" xfId="0" applyNumberFormat="1" applyFill="1" applyBorder="1" applyAlignment="1">
      <alignment vertical="top"/>
    </xf>
    <xf numFmtId="166" fontId="0" fillId="0" borderId="1" xfId="0" applyNumberFormat="1" applyFill="1" applyBorder="1" applyAlignment="1">
      <alignment vertical="top"/>
    </xf>
    <xf numFmtId="8" fontId="0" fillId="0" borderId="0" xfId="0" applyNumberFormat="1"/>
    <xf numFmtId="0" fontId="0" fillId="0" borderId="0" xfId="0" applyFill="1" applyBorder="1" applyProtection="1">
      <protection locked="0"/>
    </xf>
    <xf numFmtId="0" fontId="13" fillId="13" borderId="1" xfId="5" applyFont="1" applyFill="1" applyBorder="1" applyAlignment="1">
      <alignment horizontal="center"/>
    </xf>
    <xf numFmtId="0" fontId="13" fillId="0" borderId="1" xfId="5" applyFont="1" applyFill="1" applyBorder="1" applyAlignment="1"/>
    <xf numFmtId="0" fontId="13" fillId="0" borderId="1" xfId="5" applyFont="1" applyFill="1" applyBorder="1" applyAlignment="1">
      <alignment wrapText="1"/>
    </xf>
    <xf numFmtId="0" fontId="2" fillId="0" borderId="0" xfId="0" applyFont="1" applyFill="1" applyBorder="1" applyAlignment="1"/>
    <xf numFmtId="3" fontId="7" fillId="0" borderId="0" xfId="0" applyNumberFormat="1" applyFont="1" applyFill="1" applyBorder="1" applyProtection="1">
      <protection locked="0"/>
    </xf>
    <xf numFmtId="3" fontId="0" fillId="0" borderId="0" xfId="0" applyNumberFormat="1"/>
    <xf numFmtId="0" fontId="0" fillId="0" borderId="0" xfId="0" applyBorder="1"/>
    <xf numFmtId="3" fontId="13" fillId="0" borderId="1" xfId="5" applyNumberFormat="1" applyFont="1" applyFill="1" applyBorder="1" applyAlignment="1">
      <alignment horizontal="right"/>
    </xf>
    <xf numFmtId="0" fontId="8" fillId="0" borderId="0" xfId="0" applyFont="1" applyFill="1" applyBorder="1" applyAlignment="1">
      <alignment horizontal="center"/>
    </xf>
    <xf numFmtId="0" fontId="13" fillId="13" borderId="1" xfId="6" applyFont="1" applyFill="1" applyBorder="1" applyAlignment="1">
      <alignment horizontal="center"/>
    </xf>
    <xf numFmtId="0" fontId="13" fillId="0" borderId="1" xfId="6" applyFont="1" applyFill="1" applyBorder="1" applyAlignment="1"/>
    <xf numFmtId="0" fontId="13" fillId="0" borderId="1" xfId="6" applyFont="1" applyFill="1" applyBorder="1" applyAlignment="1">
      <alignment horizontal="right"/>
    </xf>
    <xf numFmtId="164" fontId="13" fillId="0" borderId="1" xfId="1" applyNumberFormat="1" applyFont="1" applyFill="1" applyBorder="1" applyAlignment="1">
      <alignment horizontal="right"/>
    </xf>
    <xf numFmtId="0" fontId="13" fillId="0" borderId="1" xfId="6" applyFont="1" applyFill="1" applyBorder="1" applyAlignment="1">
      <alignment horizontal="left"/>
    </xf>
    <xf numFmtId="0" fontId="14" fillId="0" borderId="1" xfId="6" applyFont="1" applyFill="1" applyBorder="1" applyAlignment="1"/>
    <xf numFmtId="164" fontId="3" fillId="0" borderId="1" xfId="0" applyNumberFormat="1" applyFont="1" applyBorder="1"/>
    <xf numFmtId="6" fontId="0" fillId="0" borderId="0" xfId="0" applyNumberFormat="1" applyBorder="1"/>
    <xf numFmtId="0" fontId="3" fillId="10" borderId="1" xfId="0" applyFont="1" applyFill="1" applyBorder="1" applyAlignment="1">
      <alignment vertical="center"/>
    </xf>
    <xf numFmtId="0" fontId="0" fillId="0" borderId="1" xfId="0" applyFont="1" applyBorder="1" applyAlignment="1">
      <alignment vertical="center"/>
    </xf>
    <xf numFmtId="0" fontId="0" fillId="0" borderId="1" xfId="0" applyFont="1" applyBorder="1" applyAlignment="1">
      <alignment vertical="center" wrapText="1"/>
    </xf>
    <xf numFmtId="0" fontId="0" fillId="0" borderId="1" xfId="0" applyFont="1" applyBorder="1" applyAlignment="1"/>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0" fontId="0" fillId="0" borderId="0" xfId="0" applyFill="1" applyBorder="1" applyAlignment="1">
      <alignment vertical="top"/>
    </xf>
    <xf numFmtId="9" fontId="7" fillId="0" borderId="0" xfId="0" applyNumberFormat="1" applyFont="1" applyFill="1" applyBorder="1" applyAlignment="1">
      <alignment horizontal="right" vertical="top"/>
    </xf>
    <xf numFmtId="10" fontId="7" fillId="0" borderId="0" xfId="0" applyNumberFormat="1" applyFont="1" applyFill="1" applyBorder="1" applyAlignment="1">
      <alignment horizontal="right" vertical="top"/>
    </xf>
    <xf numFmtId="0" fontId="0" fillId="0" borderId="4" xfId="0" applyFill="1" applyBorder="1"/>
    <xf numFmtId="0" fontId="0" fillId="0" borderId="0" xfId="0" applyFill="1"/>
    <xf numFmtId="0" fontId="0" fillId="0" borderId="0" xfId="0" applyFill="1" applyBorder="1" applyAlignment="1" applyProtection="1">
      <alignment wrapText="1"/>
      <protection locked="0"/>
    </xf>
    <xf numFmtId="0" fontId="0" fillId="0" borderId="0" xfId="0" applyFill="1" applyBorder="1" applyAlignment="1" applyProtection="1">
      <alignment horizontal="left"/>
      <protection locked="0"/>
    </xf>
    <xf numFmtId="0" fontId="0" fillId="0" borderId="0" xfId="0" applyFill="1" applyBorder="1" applyAlignment="1">
      <alignment wrapText="1"/>
    </xf>
    <xf numFmtId="9" fontId="0" fillId="0" borderId="0" xfId="0" applyNumberFormat="1" applyFill="1" applyBorder="1" applyProtection="1">
      <protection locked="0"/>
    </xf>
    <xf numFmtId="0" fontId="0" fillId="0" borderId="0" xfId="0" applyNumberFormat="1" applyFill="1" applyBorder="1" applyProtection="1">
      <protection locked="0"/>
    </xf>
    <xf numFmtId="3" fontId="0" fillId="0" borderId="0" xfId="0" applyNumberFormat="1" applyFill="1" applyBorder="1" applyProtection="1">
      <protection locked="0"/>
    </xf>
    <xf numFmtId="166" fontId="0" fillId="0" borderId="5" xfId="0" applyNumberFormat="1" applyFill="1" applyBorder="1"/>
    <xf numFmtId="3" fontId="0" fillId="0" borderId="0" xfId="0" applyNumberFormat="1" applyBorder="1"/>
    <xf numFmtId="3" fontId="0" fillId="0" borderId="1" xfId="0" applyNumberFormat="1" applyBorder="1"/>
    <xf numFmtId="1" fontId="0" fillId="0" borderId="0" xfId="0" applyNumberFormat="1" applyFill="1"/>
    <xf numFmtId="0" fontId="13" fillId="0" borderId="0" xfId="6" applyFont="1" applyFill="1" applyBorder="1" applyAlignment="1"/>
    <xf numFmtId="1" fontId="0" fillId="0" borderId="0" xfId="0" applyNumberFormat="1" applyFill="1" applyBorder="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Font="1" applyBorder="1" applyAlignment="1">
      <alignment horizontal="center" vertical="center"/>
    </xf>
    <xf numFmtId="9" fontId="0" fillId="0" borderId="1" xfId="0" applyNumberFormat="1" applyFont="1" applyBorder="1" applyAlignment="1">
      <alignment horizontal="center" vertical="center"/>
    </xf>
    <xf numFmtId="0" fontId="0" fillId="0" borderId="1" xfId="0" applyBorder="1" applyAlignment="1">
      <alignment horizontal="center"/>
    </xf>
    <xf numFmtId="9" fontId="0" fillId="0" borderId="1" xfId="0" applyNumberFormat="1" applyFont="1" applyBorder="1" applyAlignment="1">
      <alignment horizontal="center" vertical="center" wrapText="1"/>
    </xf>
    <xf numFmtId="9" fontId="0" fillId="0" borderId="1" xfId="0" applyNumberFormat="1" applyFont="1" applyFill="1" applyBorder="1" applyAlignment="1">
      <alignment horizontal="center" vertical="center"/>
    </xf>
    <xf numFmtId="0" fontId="0" fillId="0" borderId="1" xfId="0" applyFont="1" applyBorder="1" applyAlignment="1">
      <alignment horizontal="center"/>
    </xf>
    <xf numFmtId="9" fontId="0" fillId="0" borderId="1" xfId="0" applyNumberFormat="1" applyFont="1" applyBorder="1" applyAlignment="1">
      <alignment horizontal="center"/>
    </xf>
    <xf numFmtId="9" fontId="0" fillId="0" borderId="1" xfId="0" applyNumberFormat="1" applyFont="1" applyFill="1" applyBorder="1" applyAlignment="1">
      <alignment horizontal="center" vertical="center" wrapText="1"/>
    </xf>
    <xf numFmtId="0" fontId="0" fillId="2" borderId="1" xfId="0" applyNumberFormat="1"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2" borderId="1" xfId="0" applyFill="1" applyBorder="1" applyAlignment="1" applyProtection="1">
      <alignment horizontal="right"/>
      <protection locked="0"/>
    </xf>
    <xf numFmtId="0" fontId="0" fillId="16" borderId="1" xfId="0" applyFill="1" applyBorder="1"/>
    <xf numFmtId="0" fontId="3" fillId="0" borderId="0" xfId="0" applyFont="1" applyBorder="1"/>
    <xf numFmtId="0" fontId="0" fillId="0" borderId="0" xfId="0" applyProtection="1">
      <protection locked="0"/>
    </xf>
    <xf numFmtId="0" fontId="8" fillId="0" borderId="0" xfId="0" applyFont="1" applyFill="1" applyBorder="1" applyAlignment="1" applyProtection="1">
      <alignment horizontal="center"/>
      <protection locked="0"/>
    </xf>
    <xf numFmtId="0" fontId="0" fillId="11" borderId="1" xfId="0" applyFill="1" applyBorder="1" applyProtection="1"/>
    <xf numFmtId="0" fontId="2" fillId="9" borderId="1" xfId="0" applyFont="1" applyFill="1" applyBorder="1" applyAlignment="1" applyProtection="1">
      <alignment horizontal="left"/>
    </xf>
    <xf numFmtId="0" fontId="2" fillId="9" borderId="1" xfId="0" applyFont="1" applyFill="1" applyBorder="1" applyAlignment="1" applyProtection="1"/>
    <xf numFmtId="10" fontId="2" fillId="9" borderId="1" xfId="3" applyNumberFormat="1" applyFont="1" applyFill="1" applyBorder="1" applyAlignment="1" applyProtection="1">
      <alignment horizontal="center"/>
    </xf>
    <xf numFmtId="2" fontId="2" fillId="9" borderId="1" xfId="0" applyNumberFormat="1" applyFont="1" applyFill="1" applyBorder="1" applyAlignment="1" applyProtection="1">
      <alignment horizontal="center"/>
    </xf>
    <xf numFmtId="0" fontId="2" fillId="9" borderId="1" xfId="0" applyNumberFormat="1" applyFont="1" applyFill="1" applyBorder="1" applyAlignment="1" applyProtection="1">
      <alignment horizontal="center"/>
    </xf>
    <xf numFmtId="0" fontId="0" fillId="0" borderId="1" xfId="0" applyNumberFormat="1" applyFill="1" applyBorder="1" applyProtection="1"/>
    <xf numFmtId="0" fontId="15" fillId="0" borderId="1" xfId="0" applyFont="1" applyFill="1" applyBorder="1" applyAlignment="1" applyProtection="1"/>
    <xf numFmtId="3" fontId="7" fillId="0" borderId="1" xfId="0" applyNumberFormat="1" applyFont="1" applyFill="1" applyBorder="1" applyProtection="1"/>
    <xf numFmtId="0" fontId="17" fillId="0" borderId="0" xfId="0" applyFont="1" applyAlignment="1" applyProtection="1">
      <alignment vertical="center"/>
    </xf>
    <xf numFmtId="0" fontId="0" fillId="7" borderId="1" xfId="0" applyFont="1" applyFill="1" applyBorder="1" applyAlignment="1" applyProtection="1">
      <alignment horizontal="center"/>
    </xf>
    <xf numFmtId="1" fontId="0" fillId="7" borderId="1" xfId="0" applyNumberFormat="1" applyFont="1" applyFill="1" applyBorder="1" applyAlignment="1" applyProtection="1">
      <alignment horizontal="center"/>
    </xf>
    <xf numFmtId="10" fontId="0" fillId="7" borderId="1" xfId="3" applyNumberFormat="1" applyFont="1" applyFill="1" applyBorder="1" applyAlignment="1" applyProtection="1">
      <alignment horizontal="center"/>
    </xf>
    <xf numFmtId="2" fontId="0" fillId="7" borderId="1" xfId="0" applyNumberFormat="1" applyFont="1" applyFill="1" applyBorder="1" applyAlignment="1" applyProtection="1">
      <alignment horizontal="center"/>
    </xf>
    <xf numFmtId="0" fontId="0" fillId="7" borderId="1" xfId="0" applyNumberFormat="1" applyFont="1" applyFill="1" applyBorder="1" applyAlignment="1" applyProtection="1">
      <alignment horizontal="center"/>
    </xf>
    <xf numFmtId="165" fontId="0" fillId="4" borderId="1" xfId="0" applyNumberFormat="1" applyFill="1" applyBorder="1" applyProtection="1"/>
    <xf numFmtId="165" fontId="0" fillId="0" borderId="1" xfId="0" applyNumberFormat="1" applyBorder="1" applyProtection="1"/>
    <xf numFmtId="0" fontId="0" fillId="8" borderId="1" xfId="0" applyFont="1" applyFill="1" applyBorder="1" applyAlignment="1" applyProtection="1">
      <alignment horizontal="center"/>
    </xf>
    <xf numFmtId="1" fontId="0" fillId="8" borderId="1" xfId="0" applyNumberFormat="1" applyFont="1" applyFill="1" applyBorder="1" applyAlignment="1" applyProtection="1">
      <alignment horizontal="center"/>
    </xf>
    <xf numFmtId="10" fontId="0" fillId="8" borderId="1" xfId="3" applyNumberFormat="1" applyFont="1" applyFill="1" applyBorder="1" applyAlignment="1" applyProtection="1">
      <alignment horizontal="center"/>
    </xf>
    <xf numFmtId="2" fontId="0" fillId="8" borderId="1" xfId="3" applyNumberFormat="1" applyFont="1" applyFill="1" applyBorder="1" applyAlignment="1" applyProtection="1">
      <alignment horizontal="center"/>
    </xf>
    <xf numFmtId="0" fontId="0" fillId="8" borderId="1" xfId="3" applyNumberFormat="1" applyFont="1" applyFill="1" applyBorder="1" applyAlignment="1" applyProtection="1">
      <alignment horizontal="center"/>
    </xf>
    <xf numFmtId="0" fontId="2" fillId="9" borderId="7" xfId="0" applyFont="1" applyFill="1" applyBorder="1" applyAlignment="1" applyProtection="1">
      <alignment horizontal="left"/>
    </xf>
    <xf numFmtId="0" fontId="2" fillId="9" borderId="8" xfId="0" applyFont="1" applyFill="1" applyBorder="1" applyAlignment="1" applyProtection="1"/>
    <xf numFmtId="0" fontId="2" fillId="0" borderId="0" xfId="0" applyFont="1" applyFill="1" applyBorder="1" applyAlignment="1" applyProtection="1"/>
    <xf numFmtId="0" fontId="0" fillId="0" borderId="1" xfId="0" applyFill="1" applyBorder="1" applyProtection="1"/>
    <xf numFmtId="10" fontId="0" fillId="0" borderId="1" xfId="3" applyNumberFormat="1" applyFont="1" applyFill="1" applyBorder="1" applyProtection="1"/>
    <xf numFmtId="1" fontId="0" fillId="0" borderId="1" xfId="0" applyNumberFormat="1" applyBorder="1" applyProtection="1"/>
    <xf numFmtId="1" fontId="0" fillId="0" borderId="0" xfId="0" applyNumberFormat="1" applyProtection="1"/>
    <xf numFmtId="2" fontId="0" fillId="0" borderId="1" xfId="0" applyNumberFormat="1" applyFill="1" applyBorder="1" applyProtection="1"/>
    <xf numFmtId="0" fontId="2" fillId="9" borderId="7" xfId="0" applyFont="1" applyFill="1" applyBorder="1" applyAlignment="1" applyProtection="1"/>
    <xf numFmtId="4" fontId="7" fillId="0" borderId="1" xfId="0" applyNumberFormat="1" applyFont="1" applyFill="1" applyBorder="1" applyProtection="1"/>
    <xf numFmtId="0" fontId="2" fillId="9" borderId="1" xfId="0" applyFont="1" applyFill="1" applyBorder="1" applyProtection="1"/>
    <xf numFmtId="4" fontId="3" fillId="0" borderId="1" xfId="0" applyNumberFormat="1" applyFont="1" applyBorder="1" applyProtection="1"/>
    <xf numFmtId="0" fontId="3" fillId="0" borderId="1" xfId="0" applyFont="1" applyBorder="1" applyProtection="1"/>
    <xf numFmtId="0" fontId="0" fillId="0" borderId="1" xfId="0" applyFont="1" applyBorder="1" applyProtection="1"/>
    <xf numFmtId="172" fontId="0" fillId="0" borderId="1" xfId="0" applyNumberFormat="1" applyBorder="1" applyProtection="1"/>
    <xf numFmtId="6" fontId="0" fillId="0" borderId="0" xfId="0" applyNumberFormat="1" applyBorder="1" applyProtection="1"/>
    <xf numFmtId="0" fontId="0" fillId="0" borderId="1" xfId="0" applyBorder="1" applyProtection="1"/>
    <xf numFmtId="172" fontId="0" fillId="0" borderId="6" xfId="0" applyNumberFormat="1" applyFill="1" applyBorder="1" applyProtection="1"/>
    <xf numFmtId="2" fontId="0" fillId="0" borderId="0" xfId="0" applyNumberFormat="1" applyProtection="1"/>
    <xf numFmtId="10" fontId="0" fillId="0" borderId="1" xfId="3" applyNumberFormat="1" applyFont="1" applyBorder="1" applyProtection="1"/>
    <xf numFmtId="2" fontId="0" fillId="0" borderId="1" xfId="0" applyNumberFormat="1" applyBorder="1" applyProtection="1"/>
    <xf numFmtId="0" fontId="0" fillId="0" borderId="1" xfId="0" applyNumberFormat="1" applyBorder="1" applyProtection="1"/>
    <xf numFmtId="10" fontId="0" fillId="0" borderId="0" xfId="3" applyNumberFormat="1" applyFont="1" applyProtection="1"/>
    <xf numFmtId="0" fontId="0" fillId="0" borderId="0" xfId="0" applyNumberFormat="1" applyProtection="1"/>
    <xf numFmtId="0" fontId="19" fillId="0" borderId="1" xfId="7" applyBorder="1"/>
    <xf numFmtId="0" fontId="0" fillId="16" borderId="1" xfId="0" applyFill="1" applyBorder="1" applyAlignment="1" applyProtection="1">
      <alignment horizontal="right"/>
    </xf>
    <xf numFmtId="9" fontId="0" fillId="16" borderId="1" xfId="0" applyNumberFormat="1" applyFill="1" applyBorder="1" applyAlignment="1" applyProtection="1">
      <alignment horizontal="right"/>
    </xf>
    <xf numFmtId="0" fontId="0" fillId="16" borderId="1" xfId="0" applyNumberFormat="1" applyFill="1" applyBorder="1" applyAlignment="1" applyProtection="1">
      <alignment horizontal="right"/>
    </xf>
    <xf numFmtId="166" fontId="0" fillId="4" borderId="1" xfId="0" applyNumberFormat="1" applyFill="1" applyBorder="1" applyProtection="1"/>
    <xf numFmtId="0" fontId="2" fillId="9" borderId="1" xfId="0" applyFont="1" applyFill="1" applyBorder="1" applyAlignment="1" applyProtection="1">
      <alignment horizontal="center"/>
    </xf>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pplyProtection="1">
      <alignment horizontal="center"/>
    </xf>
    <xf numFmtId="0" fontId="3" fillId="0" borderId="1" xfId="0" applyFont="1" applyFill="1" applyBorder="1" applyAlignment="1" applyProtection="1">
      <alignment horizontal="center"/>
    </xf>
    <xf numFmtId="0" fontId="16" fillId="15" borderId="1" xfId="0" applyFont="1" applyFill="1" applyBorder="1" applyAlignment="1" applyProtection="1">
      <alignment horizontal="left"/>
    </xf>
    <xf numFmtId="0" fontId="0" fillId="0" borderId="1" xfId="0" applyFont="1" applyFill="1" applyBorder="1" applyAlignment="1" applyProtection="1">
      <alignment horizontal="left"/>
    </xf>
    <xf numFmtId="0" fontId="7" fillId="0" borderId="2" xfId="0" applyFont="1" applyFill="1" applyBorder="1" applyAlignment="1">
      <alignment vertical="top"/>
    </xf>
    <xf numFmtId="0" fontId="7" fillId="0" borderId="3" xfId="0" applyFont="1" applyFill="1" applyBorder="1" applyAlignment="1">
      <alignment vertical="top"/>
    </xf>
    <xf numFmtId="0" fontId="0" fillId="0" borderId="4" xfId="0" applyBorder="1" applyAlignment="1">
      <alignment horizontal="center"/>
    </xf>
    <xf numFmtId="0" fontId="4" fillId="0" borderId="1" xfId="0" applyFont="1" applyFill="1" applyBorder="1" applyAlignment="1">
      <alignment horizontal="center"/>
    </xf>
  </cellXfs>
  <cellStyles count="8">
    <cellStyle name="Comma" xfId="1" builtinId="3"/>
    <cellStyle name="Currency" xfId="2" builtinId="4"/>
    <cellStyle name="Hyperlink" xfId="4" builtinId="8"/>
    <cellStyle name="Normal" xfId="0" builtinId="0"/>
    <cellStyle name="Normal 2" xfId="7" xr:uid="{64EBEAA3-ADC4-4E1D-A009-E742316EFDDC}"/>
    <cellStyle name="Normal_Crashes" xfId="6" xr:uid="{00000000-0005-0000-0000-000004000000}"/>
    <cellStyle name="Normal_Sheet1" xfId="5" xr:uid="{00000000-0005-0000-0000-000005000000}"/>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4" zoomScale="115" zoomScaleNormal="115" workbookViewId="0" xr3:uid="{AEA406A1-0E4B-5B11-9CD5-51D6E497D94C}">
      <selection activeCell="O29" sqref="O29"/>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4"/>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6" t="s">
        <v>0</v>
      </c>
      <c r="D3" s="6" t="s">
        <v>1</v>
      </c>
      <c r="E3" s="7" t="s">
        <v>2</v>
      </c>
      <c r="G3" s="13" t="s">
        <v>3</v>
      </c>
      <c r="H3" s="13"/>
      <c r="I3" s="13" t="s">
        <v>4</v>
      </c>
      <c r="J3" s="13" t="s">
        <v>5</v>
      </c>
    </row>
    <row r="4" spans="1:10">
      <c r="A4" s="4" t="s">
        <v>6</v>
      </c>
      <c r="B4" s="5"/>
      <c r="D4" s="4" t="s">
        <v>7</v>
      </c>
      <c r="E4" s="44">
        <v>2015</v>
      </c>
      <c r="G4" s="11">
        <f>E4</f>
        <v>2015</v>
      </c>
      <c r="H4" s="11">
        <f>IF(G4&lt;2041,1,0)</f>
        <v>1</v>
      </c>
      <c r="I4" s="20">
        <f>IF($G4&lt;($G$4+$E$5),$E$17,0)*H4</f>
        <v>0</v>
      </c>
      <c r="J4" s="33" t="e">
        <f>I4*$B$18*$B$19/10^3</f>
        <v>#REF!</v>
      </c>
    </row>
    <row r="5" spans="1:10">
      <c r="A5" s="4" t="s">
        <v>8</v>
      </c>
      <c r="B5" s="5"/>
      <c r="D5" s="4" t="s">
        <v>9</v>
      </c>
      <c r="E5" s="8">
        <v>10</v>
      </c>
      <c r="G5" s="12">
        <f t="shared" ref="G5:G29" si="0">G4+1</f>
        <v>2016</v>
      </c>
      <c r="H5" s="12">
        <f t="shared" ref="H5:H29" si="1">IF(G5&lt;2041,1,0)</f>
        <v>1</v>
      </c>
      <c r="I5" s="20">
        <f t="shared" ref="I5:I29" si="2">IF($G5&lt;($G$4+$E$5),$E$17,0)*H5</f>
        <v>0</v>
      </c>
      <c r="J5" s="40" t="e">
        <f t="shared" ref="J5:J24" si="3">I5*$B$18*$B$19/10^3</f>
        <v>#REF!</v>
      </c>
    </row>
    <row r="6" spans="1:10">
      <c r="A6" s="4" t="s">
        <v>10</v>
      </c>
      <c r="B6" s="5">
        <v>1</v>
      </c>
      <c r="D6" s="178" t="s">
        <v>11</v>
      </c>
      <c r="E6" s="179"/>
      <c r="G6" s="11">
        <f t="shared" si="0"/>
        <v>2017</v>
      </c>
      <c r="H6" s="11">
        <f t="shared" si="1"/>
        <v>1</v>
      </c>
      <c r="I6" s="20">
        <f t="shared" si="2"/>
        <v>0</v>
      </c>
      <c r="J6" s="33" t="e">
        <f t="shared" si="3"/>
        <v>#REF!</v>
      </c>
    </row>
    <row r="7" spans="1:10">
      <c r="A7" s="4" t="s">
        <v>12</v>
      </c>
      <c r="B7" s="22"/>
      <c r="D7" s="4" t="s">
        <v>13</v>
      </c>
      <c r="E7" s="8"/>
      <c r="G7" s="12">
        <f t="shared" si="0"/>
        <v>2018</v>
      </c>
      <c r="H7" s="12">
        <f t="shared" si="1"/>
        <v>1</v>
      </c>
      <c r="I7" s="20">
        <f t="shared" si="2"/>
        <v>0</v>
      </c>
      <c r="J7" s="40" t="e">
        <f t="shared" si="3"/>
        <v>#REF!</v>
      </c>
    </row>
    <row r="8" spans="1:10">
      <c r="A8" s="21" t="s">
        <v>14</v>
      </c>
      <c r="B8" s="22"/>
      <c r="D8" s="4" t="s">
        <v>15</v>
      </c>
      <c r="E8" s="43">
        <v>1.1499999999999999</v>
      </c>
      <c r="G8" s="11">
        <f t="shared" si="0"/>
        <v>2019</v>
      </c>
      <c r="H8" s="11">
        <f t="shared" si="1"/>
        <v>1</v>
      </c>
      <c r="I8" s="20">
        <f t="shared" si="2"/>
        <v>0</v>
      </c>
      <c r="J8" s="33" t="e">
        <f t="shared" si="3"/>
        <v>#REF!</v>
      </c>
    </row>
    <row r="9" spans="1:10">
      <c r="G9" s="12">
        <f t="shared" si="0"/>
        <v>2020</v>
      </c>
      <c r="H9" s="12">
        <f t="shared" si="1"/>
        <v>1</v>
      </c>
      <c r="I9" s="20">
        <f t="shared" si="2"/>
        <v>0</v>
      </c>
      <c r="J9" s="40" t="e">
        <f t="shared" si="3"/>
        <v>#REF!</v>
      </c>
    </row>
    <row r="10" spans="1:10">
      <c r="A10" s="10" t="s">
        <v>16</v>
      </c>
      <c r="G10" s="11">
        <f t="shared" si="0"/>
        <v>2021</v>
      </c>
      <c r="H10" s="11">
        <f t="shared" si="1"/>
        <v>1</v>
      </c>
      <c r="I10" s="20">
        <f t="shared" si="2"/>
        <v>0</v>
      </c>
      <c r="J10" s="33" t="e">
        <f t="shared" si="3"/>
        <v>#REF!</v>
      </c>
    </row>
    <row r="11" spans="1:10">
      <c r="A11" s="9" t="s">
        <v>17</v>
      </c>
      <c r="B11" s="41" t="e">
        <f>NPV($B$17,J4:J29)/(1+$B$17)^(E4-B16+1)</f>
        <v>#REF!</v>
      </c>
      <c r="G11" s="12">
        <f t="shared" si="0"/>
        <v>2022</v>
      </c>
      <c r="H11" s="12">
        <f t="shared" si="1"/>
        <v>1</v>
      </c>
      <c r="I11" s="20">
        <f t="shared" si="2"/>
        <v>0</v>
      </c>
      <c r="J11" s="40" t="e">
        <f t="shared" si="3"/>
        <v>#REF!</v>
      </c>
    </row>
    <row r="12" spans="1:10">
      <c r="A12" s="9" t="s">
        <v>18</v>
      </c>
      <c r="B12" s="39" t="e">
        <f>B11/B7</f>
        <v>#REF!</v>
      </c>
      <c r="G12" s="11">
        <f t="shared" si="0"/>
        <v>2023</v>
      </c>
      <c r="H12" s="11">
        <f t="shared" si="1"/>
        <v>1</v>
      </c>
      <c r="I12" s="20">
        <f t="shared" si="2"/>
        <v>0</v>
      </c>
      <c r="J12" s="33" t="e">
        <f t="shared" si="3"/>
        <v>#REF!</v>
      </c>
    </row>
    <row r="13" spans="1:10">
      <c r="G13" s="12">
        <f t="shared" si="0"/>
        <v>2024</v>
      </c>
      <c r="H13" s="12">
        <f t="shared" si="1"/>
        <v>1</v>
      </c>
      <c r="I13" s="20">
        <f t="shared" si="2"/>
        <v>0</v>
      </c>
      <c r="J13" s="40" t="e">
        <f t="shared" si="3"/>
        <v>#REF!</v>
      </c>
    </row>
    <row r="14" spans="1:10">
      <c r="G14" s="11">
        <f>G13+1</f>
        <v>2025</v>
      </c>
      <c r="H14" s="11">
        <f t="shared" si="1"/>
        <v>1</v>
      </c>
      <c r="I14" s="20">
        <f t="shared" si="2"/>
        <v>0</v>
      </c>
      <c r="J14" s="33" t="e">
        <f t="shared" si="3"/>
        <v>#REF!</v>
      </c>
    </row>
    <row r="15" spans="1:10">
      <c r="A15" s="14" t="s">
        <v>19</v>
      </c>
      <c r="G15" s="12">
        <f t="shared" si="0"/>
        <v>2026</v>
      </c>
      <c r="H15" s="12">
        <f t="shared" si="1"/>
        <v>1</v>
      </c>
      <c r="I15" s="20">
        <f t="shared" si="2"/>
        <v>0</v>
      </c>
      <c r="J15" s="40" t="e">
        <f t="shared" si="3"/>
        <v>#REF!</v>
      </c>
    </row>
    <row r="16" spans="1:10">
      <c r="A16" s="15" t="s">
        <v>20</v>
      </c>
      <c r="B16" s="25">
        <f>'Assumed Values'!C5</f>
        <v>2018</v>
      </c>
      <c r="D16" s="14" t="s">
        <v>21</v>
      </c>
      <c r="E16" s="23" t="s">
        <v>2</v>
      </c>
      <c r="G16" s="11">
        <f t="shared" si="0"/>
        <v>2027</v>
      </c>
      <c r="H16" s="11">
        <f t="shared" si="1"/>
        <v>1</v>
      </c>
      <c r="I16" s="20">
        <f t="shared" si="2"/>
        <v>0</v>
      </c>
      <c r="J16" s="33" t="e">
        <f t="shared" si="3"/>
        <v>#REF!</v>
      </c>
    </row>
    <row r="17" spans="1:10">
      <c r="A17" s="15" t="s">
        <v>22</v>
      </c>
      <c r="B17" s="16">
        <f>'Assumed Values'!C6</f>
        <v>7.0000000000000007E-2</v>
      </c>
      <c r="D17" s="18" t="s">
        <v>23</v>
      </c>
      <c r="E17" s="19">
        <f>E7/E8</f>
        <v>0</v>
      </c>
      <c r="G17" s="12">
        <f t="shared" si="0"/>
        <v>2028</v>
      </c>
      <c r="H17" s="12">
        <f t="shared" si="1"/>
        <v>1</v>
      </c>
      <c r="I17" s="20">
        <f t="shared" si="2"/>
        <v>0</v>
      </c>
      <c r="J17" s="40" t="e">
        <f t="shared" si="3"/>
        <v>#REF!</v>
      </c>
    </row>
    <row r="18" spans="1:10">
      <c r="A18" s="15" t="s">
        <v>24</v>
      </c>
      <c r="B18" s="15">
        <f>IF(B6=2,2.1, 1.1)</f>
        <v>1.1000000000000001</v>
      </c>
      <c r="G18" s="11">
        <f t="shared" si="0"/>
        <v>2029</v>
      </c>
      <c r="H18" s="11">
        <f t="shared" si="1"/>
        <v>1</v>
      </c>
      <c r="I18" s="20">
        <f t="shared" si="2"/>
        <v>0</v>
      </c>
      <c r="J18" s="33" t="e">
        <f t="shared" si="3"/>
        <v>#REF!</v>
      </c>
    </row>
    <row r="19" spans="1:10">
      <c r="A19" s="15" t="s">
        <v>25</v>
      </c>
      <c r="B19" s="17" t="e">
        <f>'Assumed Values'!C15</f>
        <v>#REF!</v>
      </c>
      <c r="G19" s="12">
        <f t="shared" si="0"/>
        <v>2030</v>
      </c>
      <c r="H19" s="12">
        <f t="shared" si="1"/>
        <v>1</v>
      </c>
      <c r="I19" s="20">
        <f t="shared" si="2"/>
        <v>0</v>
      </c>
      <c r="J19" s="40" t="e">
        <f t="shared" si="3"/>
        <v>#REF!</v>
      </c>
    </row>
    <row r="20" spans="1:10">
      <c r="A20" s="15" t="s">
        <v>26</v>
      </c>
      <c r="B20" s="15">
        <v>260</v>
      </c>
      <c r="G20" s="11">
        <f t="shared" si="0"/>
        <v>2031</v>
      </c>
      <c r="H20" s="11">
        <f t="shared" si="1"/>
        <v>1</v>
      </c>
      <c r="I20" s="20">
        <f t="shared" si="2"/>
        <v>0</v>
      </c>
      <c r="J20" s="33" t="e">
        <f t="shared" si="3"/>
        <v>#REF!</v>
      </c>
    </row>
    <row r="21" spans="1:10">
      <c r="G21" s="12">
        <f t="shared" si="0"/>
        <v>2032</v>
      </c>
      <c r="H21" s="12">
        <f t="shared" si="1"/>
        <v>1</v>
      </c>
      <c r="I21" s="20">
        <f t="shared" si="2"/>
        <v>0</v>
      </c>
      <c r="J21" s="40" t="e">
        <f t="shared" si="3"/>
        <v>#REF!</v>
      </c>
    </row>
    <row r="22" spans="1:10">
      <c r="G22" s="11">
        <f t="shared" si="0"/>
        <v>2033</v>
      </c>
      <c r="H22" s="11">
        <f t="shared" si="1"/>
        <v>1</v>
      </c>
      <c r="I22" s="20">
        <f t="shared" si="2"/>
        <v>0</v>
      </c>
      <c r="J22" s="33" t="e">
        <f t="shared" si="3"/>
        <v>#REF!</v>
      </c>
    </row>
    <row r="23" spans="1:10">
      <c r="G23" s="12">
        <f t="shared" si="0"/>
        <v>2034</v>
      </c>
      <c r="H23" s="12">
        <f t="shared" si="1"/>
        <v>1</v>
      </c>
      <c r="I23" s="20">
        <f t="shared" si="2"/>
        <v>0</v>
      </c>
      <c r="J23" s="40" t="e">
        <f t="shared" si="3"/>
        <v>#REF!</v>
      </c>
    </row>
    <row r="24" spans="1:10">
      <c r="G24" s="11">
        <f t="shared" si="0"/>
        <v>2035</v>
      </c>
      <c r="H24" s="11">
        <f t="shared" si="1"/>
        <v>1</v>
      </c>
      <c r="I24" s="20">
        <f t="shared" si="2"/>
        <v>0</v>
      </c>
      <c r="J24" s="33" t="e">
        <f t="shared" si="3"/>
        <v>#REF!</v>
      </c>
    </row>
    <row r="25" spans="1:10">
      <c r="G25" s="12">
        <f t="shared" si="0"/>
        <v>2036</v>
      </c>
      <c r="H25" s="12">
        <f t="shared" si="1"/>
        <v>1</v>
      </c>
      <c r="I25" s="20">
        <f t="shared" si="2"/>
        <v>0</v>
      </c>
      <c r="J25" s="40" t="e">
        <f t="shared" ref="J25:J29" si="4">I25*$B$18*$B$19/10^3</f>
        <v>#REF!</v>
      </c>
    </row>
    <row r="26" spans="1:10">
      <c r="G26" s="11">
        <f t="shared" si="0"/>
        <v>2037</v>
      </c>
      <c r="H26" s="11">
        <f t="shared" si="1"/>
        <v>1</v>
      </c>
      <c r="I26" s="20">
        <f t="shared" si="2"/>
        <v>0</v>
      </c>
      <c r="J26" s="33" t="e">
        <f t="shared" si="4"/>
        <v>#REF!</v>
      </c>
    </row>
    <row r="27" spans="1:10">
      <c r="G27" s="12">
        <f t="shared" si="0"/>
        <v>2038</v>
      </c>
      <c r="H27" s="12">
        <f t="shared" si="1"/>
        <v>1</v>
      </c>
      <c r="I27" s="20">
        <f t="shared" si="2"/>
        <v>0</v>
      </c>
      <c r="J27" s="40" t="e">
        <f t="shared" si="4"/>
        <v>#REF!</v>
      </c>
    </row>
    <row r="28" spans="1:10">
      <c r="G28" s="11">
        <f t="shared" si="0"/>
        <v>2039</v>
      </c>
      <c r="H28" s="11">
        <f t="shared" si="1"/>
        <v>1</v>
      </c>
      <c r="I28" s="20">
        <f t="shared" si="2"/>
        <v>0</v>
      </c>
      <c r="J28" s="33" t="e">
        <f t="shared" si="4"/>
        <v>#REF!</v>
      </c>
    </row>
    <row r="29" spans="1:10">
      <c r="A29" s="24"/>
      <c r="G29" s="12">
        <f t="shared" si="0"/>
        <v>2040</v>
      </c>
      <c r="H29" s="12">
        <f t="shared" si="1"/>
        <v>1</v>
      </c>
      <c r="I29" s="20">
        <f t="shared" si="2"/>
        <v>0</v>
      </c>
      <c r="J29" s="40" t="e">
        <f t="shared" si="4"/>
        <v>#REF!</v>
      </c>
    </row>
    <row r="51" spans="1:1">
      <c r="A51" t="s">
        <v>27</v>
      </c>
    </row>
    <row r="52" spans="1:1">
      <c r="A52" s="3" t="s">
        <v>28</v>
      </c>
    </row>
    <row r="53" spans="1:1">
      <c r="A53" s="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6" t="s">
        <v>0</v>
      </c>
      <c r="D3" s="6" t="s">
        <v>30</v>
      </c>
      <c r="E3" s="7" t="s">
        <v>2</v>
      </c>
      <c r="G3" s="13" t="s">
        <v>3</v>
      </c>
      <c r="H3" s="13" t="s">
        <v>31</v>
      </c>
      <c r="I3" s="13" t="s">
        <v>32</v>
      </c>
      <c r="J3" s="13" t="s">
        <v>33</v>
      </c>
      <c r="K3" s="13" t="s">
        <v>34</v>
      </c>
    </row>
    <row r="4" spans="1:11">
      <c r="A4" s="4" t="s">
        <v>6</v>
      </c>
      <c r="B4" s="5"/>
      <c r="D4" s="4" t="s">
        <v>7</v>
      </c>
      <c r="E4" s="44">
        <v>2015</v>
      </c>
      <c r="G4" s="11">
        <f>E4</f>
        <v>2015</v>
      </c>
      <c r="H4" s="36">
        <f t="shared" ref="H4:H24" si="0">IF($G4&lt;($G$4+$E$5),$E$17,0)</f>
        <v>0</v>
      </c>
      <c r="I4" s="35" t="e">
        <f>H4*$B$20/10^3</f>
        <v>#REF!</v>
      </c>
      <c r="J4" s="36">
        <f t="shared" ref="J4:J24" si="1">IF($G4&lt;($G$4+$E$5),$E$18,0)</f>
        <v>0</v>
      </c>
      <c r="K4" s="35" t="e">
        <f>J4*$B$21/10^3</f>
        <v>#REF!</v>
      </c>
    </row>
    <row r="5" spans="1:11">
      <c r="A5" s="4" t="s">
        <v>8</v>
      </c>
      <c r="B5" s="5"/>
      <c r="D5" s="4" t="s">
        <v>9</v>
      </c>
      <c r="E5" s="8">
        <v>10</v>
      </c>
      <c r="G5" s="12">
        <f t="shared" ref="G5:G29" si="2">G4+1</f>
        <v>2016</v>
      </c>
      <c r="H5" s="36">
        <f t="shared" si="0"/>
        <v>0</v>
      </c>
      <c r="I5" s="37" t="e">
        <f t="shared" ref="I5:I24" si="3">H5*$B$20/10^3</f>
        <v>#REF!</v>
      </c>
      <c r="J5" s="36">
        <f t="shared" si="1"/>
        <v>0</v>
      </c>
      <c r="K5" s="37" t="e">
        <f t="shared" ref="K5:K24" si="4">J5*$B$21/10^3</f>
        <v>#REF!</v>
      </c>
    </row>
    <row r="6" spans="1:11">
      <c r="A6" s="4" t="s">
        <v>35</v>
      </c>
      <c r="B6" s="5">
        <v>2</v>
      </c>
      <c r="D6" s="178" t="s">
        <v>11</v>
      </c>
      <c r="E6" s="179"/>
      <c r="G6" s="11">
        <f t="shared" si="2"/>
        <v>2017</v>
      </c>
      <c r="H6" s="36">
        <f t="shared" si="0"/>
        <v>0</v>
      </c>
      <c r="I6" s="35" t="e">
        <f t="shared" si="3"/>
        <v>#REF!</v>
      </c>
      <c r="J6" s="36">
        <f t="shared" si="1"/>
        <v>0</v>
      </c>
      <c r="K6" s="35" t="e">
        <f t="shared" si="4"/>
        <v>#REF!</v>
      </c>
    </row>
    <row r="7" spans="1:11">
      <c r="A7" s="4" t="s">
        <v>12</v>
      </c>
      <c r="B7" s="22"/>
      <c r="D7" s="4" t="s">
        <v>36</v>
      </c>
      <c r="E7" s="8"/>
      <c r="G7" s="12">
        <f t="shared" si="2"/>
        <v>2018</v>
      </c>
      <c r="H7" s="36">
        <f t="shared" si="0"/>
        <v>0</v>
      </c>
      <c r="I7" s="37" t="e">
        <f t="shared" si="3"/>
        <v>#REF!</v>
      </c>
      <c r="J7" s="36">
        <f t="shared" si="1"/>
        <v>0</v>
      </c>
      <c r="K7" s="37" t="e">
        <f t="shared" si="4"/>
        <v>#REF!</v>
      </c>
    </row>
    <row r="8" spans="1:11">
      <c r="A8" s="21" t="s">
        <v>14</v>
      </c>
      <c r="B8" s="22"/>
      <c r="D8" s="178" t="s">
        <v>37</v>
      </c>
      <c r="E8" s="179"/>
      <c r="G8" s="11">
        <f t="shared" si="2"/>
        <v>2019</v>
      </c>
      <c r="H8" s="36">
        <f t="shared" si="0"/>
        <v>0</v>
      </c>
      <c r="I8" s="35" t="e">
        <f t="shared" si="3"/>
        <v>#REF!</v>
      </c>
      <c r="J8" s="36">
        <f t="shared" si="1"/>
        <v>0</v>
      </c>
      <c r="K8" s="35" t="e">
        <f t="shared" si="4"/>
        <v>#REF!</v>
      </c>
    </row>
    <row r="9" spans="1:11">
      <c r="D9" s="4" t="s">
        <v>38</v>
      </c>
      <c r="E9" s="8"/>
      <c r="G9" s="12">
        <f t="shared" si="2"/>
        <v>2020</v>
      </c>
      <c r="H9" s="36">
        <f t="shared" si="0"/>
        <v>0</v>
      </c>
      <c r="I9" s="37" t="e">
        <f t="shared" si="3"/>
        <v>#REF!</v>
      </c>
      <c r="J9" s="36">
        <f t="shared" si="1"/>
        <v>0</v>
      </c>
      <c r="K9" s="37" t="e">
        <f t="shared" si="4"/>
        <v>#REF!</v>
      </c>
    </row>
    <row r="10" spans="1:11">
      <c r="A10" s="10" t="s">
        <v>16</v>
      </c>
      <c r="D10" s="4" t="s">
        <v>39</v>
      </c>
      <c r="E10" s="8"/>
      <c r="G10" s="11">
        <f t="shared" si="2"/>
        <v>2021</v>
      </c>
      <c r="H10" s="36">
        <f t="shared" si="0"/>
        <v>0</v>
      </c>
      <c r="I10" s="35" t="e">
        <f t="shared" si="3"/>
        <v>#REF!</v>
      </c>
      <c r="J10" s="36">
        <f t="shared" si="1"/>
        <v>0</v>
      </c>
      <c r="K10" s="35" t="e">
        <f t="shared" si="4"/>
        <v>#REF!</v>
      </c>
    </row>
    <row r="11" spans="1:11">
      <c r="A11" s="9" t="s">
        <v>40</v>
      </c>
      <c r="B11" s="38" t="e">
        <f>(NPV($B$17,K4:K24)+NPV($B$17,I4:I24))/(1+$B$17)^2</f>
        <v>#REF!</v>
      </c>
      <c r="G11" s="12">
        <f t="shared" si="2"/>
        <v>2022</v>
      </c>
      <c r="H11" s="36">
        <f t="shared" si="0"/>
        <v>0</v>
      </c>
      <c r="I11" s="37" t="e">
        <f t="shared" si="3"/>
        <v>#REF!</v>
      </c>
      <c r="J11" s="36">
        <f t="shared" si="1"/>
        <v>0</v>
      </c>
      <c r="K11" s="37" t="e">
        <f t="shared" si="4"/>
        <v>#REF!</v>
      </c>
    </row>
    <row r="12" spans="1:11">
      <c r="A12" s="9" t="s">
        <v>18</v>
      </c>
      <c r="B12" s="39" t="e">
        <f>B11/B7</f>
        <v>#REF!</v>
      </c>
      <c r="G12" s="11">
        <f t="shared" si="2"/>
        <v>2023</v>
      </c>
      <c r="H12" s="36">
        <f t="shared" si="0"/>
        <v>0</v>
      </c>
      <c r="I12" s="35" t="e">
        <f t="shared" si="3"/>
        <v>#REF!</v>
      </c>
      <c r="J12" s="36">
        <f t="shared" si="1"/>
        <v>0</v>
      </c>
      <c r="K12" s="35" t="e">
        <f t="shared" si="4"/>
        <v>#REF!</v>
      </c>
    </row>
    <row r="13" spans="1:11">
      <c r="A13" s="9" t="s">
        <v>41</v>
      </c>
      <c r="B13" s="38" t="e">
        <f>B7*(B17/(1-(1+B17)^(-E5))/(SUM(H4:H29)+SUM(J4:J29)))</f>
        <v>#DIV/0!</v>
      </c>
      <c r="G13" s="12">
        <f t="shared" si="2"/>
        <v>2024</v>
      </c>
      <c r="H13" s="36">
        <f t="shared" si="0"/>
        <v>0</v>
      </c>
      <c r="I13" s="37" t="e">
        <f t="shared" si="3"/>
        <v>#REF!</v>
      </c>
      <c r="J13" s="36">
        <f t="shared" si="1"/>
        <v>0</v>
      </c>
      <c r="K13" s="37" t="e">
        <f t="shared" si="4"/>
        <v>#REF!</v>
      </c>
    </row>
    <row r="14" spans="1:11">
      <c r="G14" s="11">
        <f>G13+1</f>
        <v>2025</v>
      </c>
      <c r="H14" s="36">
        <f t="shared" si="0"/>
        <v>0</v>
      </c>
      <c r="I14" s="35" t="e">
        <f t="shared" si="3"/>
        <v>#REF!</v>
      </c>
      <c r="J14" s="36">
        <f t="shared" si="1"/>
        <v>0</v>
      </c>
      <c r="K14" s="35" t="e">
        <f t="shared" si="4"/>
        <v>#REF!</v>
      </c>
    </row>
    <row r="15" spans="1:11">
      <c r="A15" s="14" t="s">
        <v>19</v>
      </c>
      <c r="G15" s="12">
        <f t="shared" si="2"/>
        <v>2026</v>
      </c>
      <c r="H15" s="36">
        <f t="shared" si="0"/>
        <v>0</v>
      </c>
      <c r="I15" s="37" t="e">
        <f t="shared" si="3"/>
        <v>#REF!</v>
      </c>
      <c r="J15" s="36">
        <f t="shared" si="1"/>
        <v>0</v>
      </c>
      <c r="K15" s="37" t="e">
        <f t="shared" si="4"/>
        <v>#REF!</v>
      </c>
    </row>
    <row r="16" spans="1:11">
      <c r="A16" s="15" t="s">
        <v>20</v>
      </c>
      <c r="B16" s="25">
        <v>2015</v>
      </c>
      <c r="D16" s="14" t="s">
        <v>21</v>
      </c>
      <c r="E16" s="23" t="s">
        <v>2</v>
      </c>
      <c r="G16" s="11">
        <f t="shared" si="2"/>
        <v>2027</v>
      </c>
      <c r="H16" s="36">
        <f t="shared" si="0"/>
        <v>0</v>
      </c>
      <c r="I16" s="35" t="e">
        <f t="shared" si="3"/>
        <v>#REF!</v>
      </c>
      <c r="J16" s="36">
        <f t="shared" si="1"/>
        <v>0</v>
      </c>
      <c r="K16" s="35" t="e">
        <f t="shared" si="4"/>
        <v>#REF!</v>
      </c>
    </row>
    <row r="17" spans="1:11">
      <c r="A17" s="15" t="s">
        <v>22</v>
      </c>
      <c r="B17" s="16">
        <v>7.0000000000000007E-2</v>
      </c>
      <c r="D17" s="18" t="s">
        <v>38</v>
      </c>
      <c r="E17" s="32">
        <f>IF(E9,E9,$E$7*B18*$B$22/10^6)</f>
        <v>0</v>
      </c>
      <c r="G17" s="12">
        <f t="shared" si="2"/>
        <v>2028</v>
      </c>
      <c r="H17" s="36">
        <f t="shared" si="0"/>
        <v>0</v>
      </c>
      <c r="I17" s="37" t="e">
        <f t="shared" si="3"/>
        <v>#REF!</v>
      </c>
      <c r="J17" s="36">
        <f t="shared" si="1"/>
        <v>0</v>
      </c>
      <c r="K17" s="37" t="e">
        <f t="shared" si="4"/>
        <v>#REF!</v>
      </c>
    </row>
    <row r="18" spans="1:11">
      <c r="A18" s="15" t="s">
        <v>42</v>
      </c>
      <c r="B18" s="42">
        <f>IF($B$6=2,'Assumed Values'!C21,0)</f>
        <v>0.32340150000000001</v>
      </c>
      <c r="D18" s="18" t="s">
        <v>39</v>
      </c>
      <c r="E18" s="32">
        <f>IF(E10,E10,$E$7*B19*$B$22/10^6)</f>
        <v>0</v>
      </c>
      <c r="G18" s="11">
        <f t="shared" si="2"/>
        <v>2029</v>
      </c>
      <c r="H18" s="36">
        <f t="shared" si="0"/>
        <v>0</v>
      </c>
      <c r="I18" s="35" t="e">
        <f t="shared" si="3"/>
        <v>#REF!</v>
      </c>
      <c r="J18" s="36">
        <f t="shared" si="1"/>
        <v>0</v>
      </c>
      <c r="K18" s="35" t="e">
        <f t="shared" si="4"/>
        <v>#REF!</v>
      </c>
    </row>
    <row r="19" spans="1:11">
      <c r="A19" s="15" t="s">
        <v>43</v>
      </c>
      <c r="B19" s="42">
        <f>IF($B$6=2,'Assumed Values'!C22,0)</f>
        <v>0.19106300000000001</v>
      </c>
      <c r="G19" s="12">
        <f t="shared" si="2"/>
        <v>2030</v>
      </c>
      <c r="H19" s="36">
        <f t="shared" si="0"/>
        <v>0</v>
      </c>
      <c r="I19" s="37" t="e">
        <f t="shared" si="3"/>
        <v>#REF!</v>
      </c>
      <c r="J19" s="36">
        <f t="shared" si="1"/>
        <v>0</v>
      </c>
      <c r="K19" s="37" t="e">
        <f t="shared" si="4"/>
        <v>#REF!</v>
      </c>
    </row>
    <row r="20" spans="1:11">
      <c r="A20" s="15" t="s">
        <v>44</v>
      </c>
      <c r="B20" s="34" t="e">
        <f>'Assumed Values'!C19</f>
        <v>#REF!</v>
      </c>
      <c r="G20" s="11">
        <f t="shared" si="2"/>
        <v>2031</v>
      </c>
      <c r="H20" s="36">
        <f t="shared" si="0"/>
        <v>0</v>
      </c>
      <c r="I20" s="35" t="e">
        <f t="shared" si="3"/>
        <v>#REF!</v>
      </c>
      <c r="J20" s="36">
        <f t="shared" si="1"/>
        <v>0</v>
      </c>
      <c r="K20" s="35" t="e">
        <f t="shared" si="4"/>
        <v>#REF!</v>
      </c>
    </row>
    <row r="21" spans="1:11">
      <c r="A21" s="15" t="s">
        <v>45</v>
      </c>
      <c r="B21" s="34" t="e">
        <f>'Assumed Values'!C20</f>
        <v>#REF!</v>
      </c>
      <c r="G21" s="12">
        <f t="shared" si="2"/>
        <v>2032</v>
      </c>
      <c r="H21" s="36">
        <f t="shared" si="0"/>
        <v>0</v>
      </c>
      <c r="I21" s="37" t="e">
        <f t="shared" si="3"/>
        <v>#REF!</v>
      </c>
      <c r="J21" s="36">
        <f t="shared" si="1"/>
        <v>0</v>
      </c>
      <c r="K21" s="37" t="e">
        <f t="shared" si="4"/>
        <v>#REF!</v>
      </c>
    </row>
    <row r="22" spans="1:11">
      <c r="A22" s="15" t="s">
        <v>26</v>
      </c>
      <c r="B22" s="15">
        <v>260</v>
      </c>
      <c r="G22" s="11">
        <f t="shared" si="2"/>
        <v>2033</v>
      </c>
      <c r="H22" s="36">
        <f t="shared" si="0"/>
        <v>0</v>
      </c>
      <c r="I22" s="35" t="e">
        <f t="shared" si="3"/>
        <v>#REF!</v>
      </c>
      <c r="J22" s="36">
        <f t="shared" si="1"/>
        <v>0</v>
      </c>
      <c r="K22" s="35" t="e">
        <f t="shared" si="4"/>
        <v>#REF!</v>
      </c>
    </row>
    <row r="23" spans="1:11">
      <c r="G23" s="12">
        <f t="shared" si="2"/>
        <v>2034</v>
      </c>
      <c r="H23" s="36">
        <f t="shared" si="0"/>
        <v>0</v>
      </c>
      <c r="I23" s="37" t="e">
        <f t="shared" si="3"/>
        <v>#REF!</v>
      </c>
      <c r="J23" s="36">
        <f t="shared" si="1"/>
        <v>0</v>
      </c>
      <c r="K23" s="37" t="e">
        <f t="shared" si="4"/>
        <v>#REF!</v>
      </c>
    </row>
    <row r="24" spans="1:11">
      <c r="G24" s="11">
        <f t="shared" si="2"/>
        <v>2035</v>
      </c>
      <c r="H24" s="36">
        <f t="shared" si="0"/>
        <v>0</v>
      </c>
      <c r="I24" s="35" t="e">
        <f t="shared" si="3"/>
        <v>#REF!</v>
      </c>
      <c r="J24" s="36">
        <f t="shared" si="1"/>
        <v>0</v>
      </c>
      <c r="K24" s="35" t="e">
        <f t="shared" si="4"/>
        <v>#REF!</v>
      </c>
    </row>
    <row r="25" spans="1:11">
      <c r="G25" s="12">
        <f t="shared" si="2"/>
        <v>2036</v>
      </c>
      <c r="H25" s="36">
        <f t="shared" ref="H25:H28" si="5">IF($G25&lt;($G$4+$E$5),$E$17,0)</f>
        <v>0</v>
      </c>
      <c r="I25" s="37" t="e">
        <f t="shared" ref="I25:I29" si="6">H25*$B$20/10^3</f>
        <v>#REF!</v>
      </c>
      <c r="J25" s="36">
        <f t="shared" ref="J25:J28" si="7">IF($G25&lt;($G$4+$E$5),$E$18,0)</f>
        <v>0</v>
      </c>
      <c r="K25" s="37" t="e">
        <f t="shared" ref="K25:K29" si="8">J25*$B$21/10^3</f>
        <v>#REF!</v>
      </c>
    </row>
    <row r="26" spans="1:11">
      <c r="G26" s="11">
        <f t="shared" si="2"/>
        <v>2037</v>
      </c>
      <c r="H26" s="36">
        <f t="shared" si="5"/>
        <v>0</v>
      </c>
      <c r="I26" s="35" t="e">
        <f t="shared" si="6"/>
        <v>#REF!</v>
      </c>
      <c r="J26" s="36">
        <f t="shared" si="7"/>
        <v>0</v>
      </c>
      <c r="K26" s="35" t="e">
        <f t="shared" si="8"/>
        <v>#REF!</v>
      </c>
    </row>
    <row r="27" spans="1:11">
      <c r="G27" s="12">
        <f t="shared" si="2"/>
        <v>2038</v>
      </c>
      <c r="H27" s="36">
        <f t="shared" si="5"/>
        <v>0</v>
      </c>
      <c r="I27" s="37" t="e">
        <f t="shared" si="6"/>
        <v>#REF!</v>
      </c>
      <c r="J27" s="36">
        <f t="shared" si="7"/>
        <v>0</v>
      </c>
      <c r="K27" s="37" t="e">
        <f t="shared" si="8"/>
        <v>#REF!</v>
      </c>
    </row>
    <row r="28" spans="1:11">
      <c r="G28" s="11">
        <f t="shared" si="2"/>
        <v>2039</v>
      </c>
      <c r="H28" s="36">
        <f t="shared" si="5"/>
        <v>0</v>
      </c>
      <c r="I28" s="35" t="e">
        <f t="shared" si="6"/>
        <v>#REF!</v>
      </c>
      <c r="J28" s="36">
        <f t="shared" si="7"/>
        <v>0</v>
      </c>
      <c r="K28" s="35" t="e">
        <f t="shared" si="8"/>
        <v>#REF!</v>
      </c>
    </row>
    <row r="29" spans="1:11">
      <c r="G29" s="12">
        <f t="shared" si="2"/>
        <v>2040</v>
      </c>
      <c r="H29" s="36">
        <f>IF($G29&lt;($G$4+$E$5),$E$17,0)</f>
        <v>0</v>
      </c>
      <c r="I29" s="37" t="e">
        <f t="shared" si="6"/>
        <v>#REF!</v>
      </c>
      <c r="J29" s="36">
        <f>IF($G29&lt;($G$4+$E$5),$E$18,0)</f>
        <v>0</v>
      </c>
      <c r="K29" s="37" t="e">
        <f t="shared" si="8"/>
        <v>#REF!</v>
      </c>
    </row>
    <row r="31" spans="1:11">
      <c r="A31" s="24"/>
    </row>
    <row r="53" spans="1:1">
      <c r="A53" t="s">
        <v>27</v>
      </c>
    </row>
    <row r="54" spans="1:1">
      <c r="A54" s="3" t="s">
        <v>28</v>
      </c>
    </row>
    <row r="55" spans="1:1">
      <c r="A55" s="3"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3:S80"/>
  <sheetViews>
    <sheetView tabSelected="1" zoomScaleNormal="100" workbookViewId="0" xr3:uid="{51F8DEE0-4D01-5F28-A812-FC0BD7CAC4A5}">
      <selection activeCell="C13" sqref="C13"/>
    </sheetView>
  </sheetViews>
  <sheetFormatPr defaultRowHeight="15"/>
  <cols>
    <col min="2" max="2" width="45.140625" bestFit="1" customWidth="1"/>
    <col min="3" max="3" width="25.5703125" customWidth="1"/>
    <col min="4" max="4" width="6" style="93" customWidth="1"/>
    <col min="5" max="5" width="5.85546875" customWidth="1"/>
    <col min="6" max="6" width="54.5703125" customWidth="1"/>
    <col min="13" max="13" width="11.5703125" bestFit="1" customWidth="1"/>
  </cols>
  <sheetData>
    <row r="3" spans="2:19" ht="18.75">
      <c r="B3" s="52" t="s">
        <v>46</v>
      </c>
      <c r="C3" s="53"/>
      <c r="D3" s="92"/>
      <c r="E3" s="53"/>
      <c r="F3" s="53"/>
    </row>
    <row r="5" spans="2:19">
      <c r="B5" s="6" t="s">
        <v>0</v>
      </c>
    </row>
    <row r="6" spans="2:19">
      <c r="B6" s="4" t="s">
        <v>47</v>
      </c>
      <c r="C6" s="120" t="s">
        <v>48</v>
      </c>
      <c r="D6" s="94"/>
    </row>
    <row r="7" spans="2:19">
      <c r="B7" s="4" t="s">
        <v>49</v>
      </c>
      <c r="C7" s="121" t="s">
        <v>50</v>
      </c>
      <c r="D7" s="64"/>
      <c r="E7" s="4"/>
      <c r="F7" t="s">
        <v>51</v>
      </c>
    </row>
    <row r="8" spans="2:19">
      <c r="B8" s="4" t="s">
        <v>52</v>
      </c>
      <c r="C8" s="121" t="s">
        <v>53</v>
      </c>
      <c r="D8" s="64"/>
      <c r="E8" s="86"/>
      <c r="F8" t="s">
        <v>54</v>
      </c>
    </row>
    <row r="9" spans="2:19">
      <c r="B9" s="4" t="s">
        <v>55</v>
      </c>
      <c r="C9" s="121" t="s">
        <v>56</v>
      </c>
      <c r="D9" s="64"/>
      <c r="E9" s="122"/>
      <c r="F9" t="s">
        <v>57</v>
      </c>
    </row>
    <row r="10" spans="2:19">
      <c r="B10" s="4" t="s">
        <v>58</v>
      </c>
      <c r="C10" s="121" t="s">
        <v>59</v>
      </c>
      <c r="D10" s="64"/>
      <c r="E10" s="9"/>
      <c r="F10" t="s">
        <v>60</v>
      </c>
    </row>
    <row r="11" spans="2:19">
      <c r="B11" s="4" t="s">
        <v>61</v>
      </c>
      <c r="C11" s="121" t="s">
        <v>62</v>
      </c>
      <c r="D11" s="64"/>
    </row>
    <row r="12" spans="2:19">
      <c r="B12" s="4" t="s">
        <v>63</v>
      </c>
      <c r="C12" s="121">
        <v>3.53</v>
      </c>
      <c r="D12" s="95"/>
      <c r="N12" s="180"/>
      <c r="O12" s="180"/>
      <c r="P12" s="180"/>
      <c r="Q12" s="180"/>
      <c r="R12" s="180"/>
      <c r="S12" s="180"/>
    </row>
    <row r="13" spans="2:19">
      <c r="B13" s="4" t="s">
        <v>64</v>
      </c>
      <c r="C13" s="121">
        <v>258</v>
      </c>
      <c r="D13" s="64"/>
    </row>
    <row r="14" spans="2:19">
      <c r="B14" s="4" t="s">
        <v>65</v>
      </c>
      <c r="C14" s="121" t="s">
        <v>66</v>
      </c>
      <c r="D14" s="64"/>
      <c r="G14" s="109"/>
    </row>
    <row r="15" spans="2:19">
      <c r="B15" s="26"/>
      <c r="C15" s="64"/>
      <c r="D15" s="64"/>
    </row>
    <row r="16" spans="2:19">
      <c r="B16" s="6" t="s">
        <v>67</v>
      </c>
    </row>
    <row r="17" spans="2:13">
      <c r="B17" s="4" t="s">
        <v>68</v>
      </c>
      <c r="C17" s="119">
        <v>2023</v>
      </c>
      <c r="D17" s="96"/>
    </row>
    <row r="18" spans="2:13">
      <c r="B18" s="4" t="s">
        <v>69</v>
      </c>
      <c r="C18" s="120" t="s">
        <v>70</v>
      </c>
      <c r="D18" s="26"/>
    </row>
    <row r="19" spans="2:13">
      <c r="B19" s="122" t="s">
        <v>71</v>
      </c>
      <c r="C19" s="173">
        <f>VLOOKUP(C18,'CRF Lookup Table'!C3:F84,2, FALSE)</f>
        <v>519</v>
      </c>
      <c r="D19" s="97"/>
    </row>
    <row r="20" spans="2:13">
      <c r="B20" s="122" t="s">
        <v>72</v>
      </c>
      <c r="C20" s="174">
        <f>VLOOKUP(C18,'CRF Lookup Table'!C3:F84,3, FALSE)</f>
        <v>0.25</v>
      </c>
      <c r="D20" s="98"/>
      <c r="F20" s="68"/>
    </row>
    <row r="21" spans="2:13">
      <c r="B21" s="122" t="s">
        <v>73</v>
      </c>
      <c r="C21" s="175">
        <f>VLOOKUP(C18,'CRF Lookup Table'!C3:F84,4, FALSE)</f>
        <v>10</v>
      </c>
      <c r="D21" s="98"/>
      <c r="F21" s="68"/>
    </row>
    <row r="22" spans="2:13">
      <c r="F22" s="68"/>
      <c r="M22" s="106"/>
    </row>
    <row r="23" spans="2:13">
      <c r="B23" s="26"/>
      <c r="C23" s="64"/>
      <c r="D23" s="64"/>
      <c r="F23" s="68"/>
    </row>
    <row r="24" spans="2:13">
      <c r="B24" s="110" t="s">
        <v>74</v>
      </c>
      <c r="C24" s="73"/>
      <c r="D24" s="73"/>
      <c r="M24" s="106"/>
    </row>
    <row r="25" spans="2:13">
      <c r="B25" s="4" t="s">
        <v>75</v>
      </c>
      <c r="C25" s="8">
        <v>7761</v>
      </c>
      <c r="D25" s="99"/>
      <c r="I25" s="49"/>
    </row>
    <row r="26" spans="2:13">
      <c r="I26" s="49"/>
    </row>
    <row r="27" spans="2:13">
      <c r="B27" s="86" t="s">
        <v>76</v>
      </c>
      <c r="C27" s="87">
        <v>4080</v>
      </c>
      <c r="D27" s="99"/>
      <c r="I27" s="49"/>
    </row>
    <row r="28" spans="2:13">
      <c r="B28" s="86" t="s">
        <v>77</v>
      </c>
      <c r="C28" s="87">
        <v>10465</v>
      </c>
      <c r="D28" s="99"/>
      <c r="I28" s="49"/>
    </row>
    <row r="29" spans="2:13">
      <c r="B29" s="86" t="s">
        <v>78</v>
      </c>
      <c r="C29" s="88">
        <v>3866</v>
      </c>
      <c r="D29" s="69"/>
      <c r="I29" s="49"/>
    </row>
    <row r="30" spans="2:13">
      <c r="B30" s="86" t="s">
        <v>79</v>
      </c>
      <c r="C30" s="88">
        <v>10465</v>
      </c>
      <c r="D30" s="69"/>
      <c r="I30" s="49"/>
    </row>
    <row r="31" spans="2:13">
      <c r="B31" s="86" t="s">
        <v>80</v>
      </c>
      <c r="C31" s="87">
        <v>7856</v>
      </c>
      <c r="D31" s="99"/>
      <c r="H31" s="70"/>
    </row>
    <row r="32" spans="2:13">
      <c r="B32" s="86" t="s">
        <v>81</v>
      </c>
      <c r="C32" s="87">
        <v>10465</v>
      </c>
      <c r="D32" s="99"/>
    </row>
    <row r="34" spans="2:9" ht="18.75">
      <c r="B34" s="52" t="s">
        <v>82</v>
      </c>
      <c r="C34" s="53"/>
      <c r="D34" s="92"/>
      <c r="E34" s="53"/>
      <c r="F34" s="53"/>
      <c r="I34" s="70"/>
    </row>
    <row r="36" spans="2:9">
      <c r="B36" s="10" t="s">
        <v>83</v>
      </c>
    </row>
    <row r="37" spans="2:9">
      <c r="B37" s="9" t="s">
        <v>84</v>
      </c>
      <c r="C37" s="176">
        <f>Calculations!U37</f>
        <v>6575.8857234136358</v>
      </c>
      <c r="D37" s="100"/>
      <c r="E37" s="71"/>
    </row>
    <row r="56" spans="2:2">
      <c r="B56" s="24"/>
    </row>
    <row r="79" spans="2:2">
      <c r="B79" s="3"/>
    </row>
    <row r="80" spans="2:2">
      <c r="B80" s="3"/>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9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'CRASH RATES'!$C$14:$C$21</xm:f>
          </x14:formula1>
          <xm:sqref>C7:D7</xm:sqref>
        </x14:dataValidation>
        <x14:dataValidation type="list" allowBlank="1" showInputMessage="1" showErrorMessage="1" xr:uid="{00000000-0002-0000-0300-000001000000}">
          <x14:formula1>
            <xm:f>'CRASH RATES'!$D$3:$D$4</xm:f>
          </x14:formula1>
          <xm:sqref>C8:D8</xm:sqref>
        </x14:dataValidation>
        <x14:dataValidation type="list" allowBlank="1" showInputMessage="1" showErrorMessage="1" xr:uid="{00000000-0002-0000-0300-000002000000}">
          <x14:formula1>
            <xm:f>'CRF Lookup Table'!$C$4:$C$84</xm:f>
          </x14:formula1>
          <xm:sqref>C18</xm:sqref>
        </x14:dataValidation>
        <x14:dataValidation type="list" allowBlank="1" showInputMessage="1" showErrorMessage="1" xr:uid="{00000000-0002-0000-0300-000003000000}">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8"/>
    <pageSetUpPr fitToPage="1"/>
  </sheetPr>
  <dimension ref="A3:U37"/>
  <sheetViews>
    <sheetView topLeftCell="E1" zoomScale="85" zoomScaleNormal="85" workbookViewId="0" xr3:uid="{F9CF3CF3-643B-5BE6-8B46-32C596A47465}">
      <selection activeCell="U37" sqref="U37"/>
    </sheetView>
  </sheetViews>
  <sheetFormatPr defaultRowHeight="15"/>
  <cols>
    <col min="1" max="1" width="35" style="3" customWidth="1"/>
    <col min="2" max="2" width="12.5703125" style="3" customWidth="1"/>
    <col min="3" max="3" width="5.28515625" style="3" customWidth="1"/>
    <col min="4" max="4" width="40" style="3" bestFit="1" customWidth="1"/>
    <col min="5" max="5" width="15.42578125" style="3" bestFit="1" customWidth="1"/>
    <col min="6" max="10" width="15.42578125" style="3" customWidth="1"/>
    <col min="11" max="11" width="5.5703125" style="3" customWidth="1"/>
    <col min="12" max="12" width="5.7109375" style="3" customWidth="1"/>
    <col min="13" max="13" width="9.28515625" style="3" bestFit="1" customWidth="1"/>
    <col min="14" max="14" width="9.28515625" style="3" customWidth="1"/>
    <col min="15" max="15" width="16.7109375" style="170" customWidth="1"/>
    <col min="16" max="16" width="16.85546875" style="166" bestFit="1" customWidth="1"/>
    <col min="17" max="17" width="11.42578125" style="171" bestFit="1" customWidth="1"/>
    <col min="18" max="18" width="37.85546875" style="3" bestFit="1" customWidth="1"/>
    <col min="19" max="19" width="18.7109375" style="3" customWidth="1"/>
    <col min="20" max="20" width="34.28515625" style="3" bestFit="1" customWidth="1"/>
    <col min="21" max="21" width="30.85546875" style="3" bestFit="1" customWidth="1"/>
    <col min="22" max="16384" width="9.140625" style="3"/>
  </cols>
  <sheetData>
    <row r="3" spans="1:21">
      <c r="A3" s="127" t="s">
        <v>19</v>
      </c>
      <c r="D3" s="128" t="s">
        <v>85</v>
      </c>
      <c r="M3" s="177" t="s">
        <v>3</v>
      </c>
      <c r="N3" s="177" t="s">
        <v>86</v>
      </c>
      <c r="O3" s="129" t="s">
        <v>87</v>
      </c>
      <c r="P3" s="130" t="s">
        <v>88</v>
      </c>
      <c r="Q3" s="131" t="s">
        <v>89</v>
      </c>
      <c r="R3" s="177" t="s">
        <v>90</v>
      </c>
      <c r="S3" s="177" t="s">
        <v>91</v>
      </c>
      <c r="T3" s="177" t="s">
        <v>92</v>
      </c>
      <c r="U3" s="177" t="s">
        <v>93</v>
      </c>
    </row>
    <row r="4" spans="1:21" ht="15.75">
      <c r="A4" s="126" t="s">
        <v>20</v>
      </c>
      <c r="B4" s="132">
        <v>2018</v>
      </c>
      <c r="D4" s="133" t="s">
        <v>94</v>
      </c>
      <c r="E4" s="134">
        <f>VLOOKUP(Year_Open_to_Traffic?,Calculations!M4:N36,2,Calculations!N4:N36)</f>
        <v>7468.0050411129632</v>
      </c>
      <c r="G4" s="183" t="s">
        <v>95</v>
      </c>
      <c r="H4" s="183"/>
      <c r="I4" s="183"/>
      <c r="J4" s="183"/>
      <c r="L4" s="135"/>
      <c r="M4" s="136">
        <v>2018</v>
      </c>
      <c r="N4" s="137">
        <f>_2018_Volume_ADT</f>
        <v>7761</v>
      </c>
      <c r="O4" s="138" t="s">
        <v>96</v>
      </c>
      <c r="P4" s="139">
        <f>MIN(B12,1)</f>
        <v>0.38987099856665075</v>
      </c>
      <c r="Q4" s="140">
        <f>-(ROUNDUP(P4,0)-2)</f>
        <v>1</v>
      </c>
      <c r="R4" s="37">
        <f>IF(M4=Year_Open_to_Traffic?,Calculations!$J$5,0)</f>
        <v>0</v>
      </c>
      <c r="S4" s="54">
        <f t="shared" ref="S4:S36" si="0">IF(AND(M4&gt;=Year_Open_to_Traffic?,M4&lt;Year_Open_to_Traffic?+Years_to_include_in_BCA_Analysis),1,0)</f>
        <v>0</v>
      </c>
      <c r="T4" s="37">
        <f>(R4*S4)/10^3</f>
        <v>0</v>
      </c>
      <c r="U4" s="141">
        <f>T4/(1+Real_Discount_Rate)^(Calculations!M4-'Assumed Values'!$C$5)</f>
        <v>0</v>
      </c>
    </row>
    <row r="5" spans="1:21" ht="15.75">
      <c r="A5" s="126" t="s">
        <v>97</v>
      </c>
      <c r="B5" s="126">
        <f>Service_Life</f>
        <v>10</v>
      </c>
      <c r="D5" s="133" t="s">
        <v>98</v>
      </c>
      <c r="E5" s="134">
        <f>$E$4*'Inputs &amp; Outputs'!$C$12</f>
        <v>26362.05779512876</v>
      </c>
      <c r="G5" s="184" t="s">
        <v>99</v>
      </c>
      <c r="H5" s="184"/>
      <c r="I5" s="184"/>
      <c r="J5" s="142">
        <f>SUMPRODUCT(Possible_Crash_Reductions,'Value of Statistical Life'!E5:E11)</f>
        <v>1139847.5611024247</v>
      </c>
      <c r="L5" s="135"/>
      <c r="M5" s="143">
        <f t="shared" ref="M5:M36" si="1">M4+1</f>
        <v>2019</v>
      </c>
      <c r="N5" s="144">
        <f>N4+(N4*O5)</f>
        <v>7701.4955220163365</v>
      </c>
      <c r="O5" s="145">
        <f t="shared" ref="O5:O11" si="2">IF(ISERROR(_2025_2045_Demand_Growth),_2018_2045_Demand_Growth,_2018_2025_Demand_Growth)</f>
        <v>-7.6671148026882241E-3</v>
      </c>
      <c r="P5" s="146">
        <f t="shared" ref="P5:P11" si="3">P4*(1+IFERROR(_2018_2025_V_C_Growth,_2018_2045_V_C_Growth))</f>
        <v>0.38688181286240153</v>
      </c>
      <c r="Q5" s="147">
        <f t="shared" ref="Q5:Q36" si="4">-(ROUNDUP(P5,0)-2)</f>
        <v>1</v>
      </c>
      <c r="R5" s="37">
        <f>IF(M5=Year_Open_to_Traffic?,Calculations!$J$5,Calculations!R4+(Calculations!R4*Calculations!O5*Q5))</f>
        <v>0</v>
      </c>
      <c r="S5" s="54">
        <f t="shared" si="0"/>
        <v>0</v>
      </c>
      <c r="T5" s="37">
        <f t="shared" ref="T5:T36" si="5">(R5*S5)/10^3</f>
        <v>0</v>
      </c>
      <c r="U5" s="141">
        <f>T5/(1+Real_Discount_Rate)^(Calculations!M5-'Assumed Values'!$C$5)</f>
        <v>0</v>
      </c>
    </row>
    <row r="6" spans="1:21" ht="15.75">
      <c r="A6" s="126" t="s">
        <v>100</v>
      </c>
      <c r="B6" s="126">
        <v>260</v>
      </c>
      <c r="D6" s="133" t="s">
        <v>101</v>
      </c>
      <c r="E6" s="134">
        <f>$E$5*$B$6</f>
        <v>6854135.0267334776</v>
      </c>
      <c r="L6" s="135"/>
      <c r="M6" s="136">
        <f t="shared" si="1"/>
        <v>2020</v>
      </c>
      <c r="N6" s="144">
        <f t="shared" ref="N6:N36" si="6">N5+(N5*O6)</f>
        <v>7642.4472716966484</v>
      </c>
      <c r="O6" s="145">
        <f t="shared" si="2"/>
        <v>-7.6671148026882241E-3</v>
      </c>
      <c r="P6" s="146">
        <f t="shared" si="3"/>
        <v>0.38391554558811336</v>
      </c>
      <c r="Q6" s="147">
        <f t="shared" si="4"/>
        <v>1</v>
      </c>
      <c r="R6" s="37">
        <f>IF(M6=Year_Open_to_Traffic?,Calculations!$J$5,Calculations!R5+(Calculations!R5*Calculations!O6*Q6))</f>
        <v>0</v>
      </c>
      <c r="S6" s="54">
        <f t="shared" si="0"/>
        <v>0</v>
      </c>
      <c r="T6" s="37">
        <f t="shared" si="5"/>
        <v>0</v>
      </c>
      <c r="U6" s="141">
        <f>T6/(1+Real_Discount_Rate)^(Calculations!M6-'Assumed Values'!$C$5)</f>
        <v>0</v>
      </c>
    </row>
    <row r="7" spans="1:21" ht="15.75">
      <c r="B7" s="124"/>
      <c r="L7" s="135"/>
      <c r="M7" s="143">
        <f t="shared" si="1"/>
        <v>2021</v>
      </c>
      <c r="N7" s="144">
        <f t="shared" si="6"/>
        <v>7583.8517510910588</v>
      </c>
      <c r="O7" s="145">
        <f t="shared" si="2"/>
        <v>-7.6671148026882241E-3</v>
      </c>
      <c r="P7" s="146">
        <f t="shared" si="3"/>
        <v>0.38097202102555261</v>
      </c>
      <c r="Q7" s="147">
        <f t="shared" si="4"/>
        <v>1</v>
      </c>
      <c r="R7" s="37">
        <f>IF(M7=Year_Open_to_Traffic?,Calculations!$J$5,Calculations!R6+(Calculations!R6*Calculations!O7*Q7))</f>
        <v>0</v>
      </c>
      <c r="S7" s="54">
        <f t="shared" si="0"/>
        <v>0</v>
      </c>
      <c r="T7" s="37">
        <f t="shared" si="5"/>
        <v>0</v>
      </c>
      <c r="U7" s="141">
        <f>T7/(1+Real_Discount_Rate)^(Calculations!M7-'Assumed Values'!$C$5)</f>
        <v>0</v>
      </c>
    </row>
    <row r="8" spans="1:21" ht="15.75">
      <c r="A8" s="148" t="s">
        <v>21</v>
      </c>
      <c r="B8" s="125"/>
      <c r="D8" s="149" t="s">
        <v>102</v>
      </c>
      <c r="E8" s="150"/>
      <c r="L8" s="135"/>
      <c r="M8" s="136">
        <f t="shared" si="1"/>
        <v>2022</v>
      </c>
      <c r="N8" s="144">
        <f t="shared" si="6"/>
        <v>7525.7054890688751</v>
      </c>
      <c r="O8" s="145">
        <f t="shared" si="2"/>
        <v>-7.6671148026882241E-3</v>
      </c>
      <c r="P8" s="146">
        <f t="shared" si="3"/>
        <v>0.37805106480373757</v>
      </c>
      <c r="Q8" s="147">
        <f t="shared" si="4"/>
        <v>1</v>
      </c>
      <c r="R8" s="37">
        <f>IF(M8=Year_Open_to_Traffic?,Calculations!$J$5,Calculations!R7+(Calculations!R7*Calculations!O8*Q8))</f>
        <v>0</v>
      </c>
      <c r="S8" s="54">
        <f t="shared" si="0"/>
        <v>0</v>
      </c>
      <c r="T8" s="37">
        <f t="shared" si="5"/>
        <v>0</v>
      </c>
      <c r="U8" s="141">
        <f>T8/(1+Real_Discount_Rate)^(Calculations!M8-'Assumed Values'!$C$5)</f>
        <v>0</v>
      </c>
    </row>
    <row r="9" spans="1:21" ht="15.75">
      <c r="A9" s="151" t="s">
        <v>103</v>
      </c>
      <c r="B9" s="152">
        <f>(_2025_Peak_Period_Volume/'Inputs &amp; Outputs'!$C$27)^(1/(2025-2018))-1</f>
        <v>-7.6671148026882241E-3</v>
      </c>
      <c r="D9" s="151" t="s">
        <v>104</v>
      </c>
      <c r="E9" s="153">
        <f>IF('Inputs &amp; Outputs'!$C$8='CRASH RATES'!$D$3, VLOOKUP('Inputs &amp; Outputs'!$C$7,'CRASH RATES'!$C$14:$J$21,3,FALSE), VLOOKUP('Inputs &amp; Outputs'!$C$7,'CRASH RATES'!$C$28:$J$35,3,FALSE))</f>
        <v>5.3130646924395055</v>
      </c>
      <c r="F9" s="154"/>
      <c r="L9" s="135"/>
      <c r="M9" s="143">
        <f t="shared" si="1"/>
        <v>2023</v>
      </c>
      <c r="N9" s="144">
        <f t="shared" si="6"/>
        <v>7468.0050411129632</v>
      </c>
      <c r="O9" s="145">
        <f t="shared" si="2"/>
        <v>-7.6671148026882241E-3</v>
      </c>
      <c r="P9" s="146">
        <f t="shared" si="3"/>
        <v>0.37515250388860877</v>
      </c>
      <c r="Q9" s="147">
        <f t="shared" si="4"/>
        <v>1</v>
      </c>
      <c r="R9" s="37">
        <f>IF(M9=Year_Open_to_Traffic?,Calculations!$J$5,Calculations!R8+(Calculations!R8*Calculations!O9*Q9))</f>
        <v>1139847.5611024247</v>
      </c>
      <c r="S9" s="54">
        <f t="shared" si="0"/>
        <v>1</v>
      </c>
      <c r="T9" s="37">
        <f t="shared" si="5"/>
        <v>1139.8475611024248</v>
      </c>
      <c r="U9" s="141">
        <f>T9/(1+Real_Discount_Rate)^(Calculations!M9-'Assumed Values'!$C$5)</f>
        <v>812.6955577841951</v>
      </c>
    </row>
    <row r="10" spans="1:21" ht="15.75">
      <c r="A10" s="151" t="s">
        <v>105</v>
      </c>
      <c r="B10" s="152">
        <f>(_2045_Peak_Period_Volume/_2025_Peak_Period_Volume)^(1/(2045-2025))-1</f>
        <v>3.6088805246292877E-2</v>
      </c>
      <c r="D10" s="151" t="s">
        <v>106</v>
      </c>
      <c r="E10" s="153">
        <f>IF('Inputs &amp; Outputs'!$C$8='CRASH RATES'!$D$3, VLOOKUP('Inputs &amp; Outputs'!$C$7,'CRASH RATES'!$C$14:$J$21,4,FALSE), VLOOKUP('Inputs &amp; Outputs'!$C$7,'CRASH RATES'!$C$28:$J$35,4,FALSE))</f>
        <v>9.8447963418732023</v>
      </c>
      <c r="F10" s="154"/>
      <c r="L10" s="135"/>
      <c r="M10" s="136">
        <f t="shared" si="1"/>
        <v>2024</v>
      </c>
      <c r="N10" s="144">
        <f t="shared" si="6"/>
        <v>7410.7469891156961</v>
      </c>
      <c r="O10" s="145">
        <f t="shared" si="2"/>
        <v>-7.6671148026882241E-3</v>
      </c>
      <c r="P10" s="146">
        <f t="shared" si="3"/>
        <v>0.37227616657277884</v>
      </c>
      <c r="Q10" s="147">
        <f t="shared" si="4"/>
        <v>1</v>
      </c>
      <c r="R10" s="37">
        <f>IF(M10=Year_Open_to_Traffic?,Calculations!$J$5,Calculations!R9+(Calculations!R9*Calculations!O10*Q10))</f>
        <v>1131108.2189938882</v>
      </c>
      <c r="S10" s="54">
        <f t="shared" si="0"/>
        <v>1</v>
      </c>
      <c r="T10" s="37">
        <f t="shared" si="5"/>
        <v>1131.1082189938882</v>
      </c>
      <c r="U10" s="141">
        <f>T10/(1+Real_Discount_Rate)^(Calculations!M10-'Assumed Values'!$C$5)</f>
        <v>753.70516602152225</v>
      </c>
    </row>
    <row r="11" spans="1:21" ht="15.75">
      <c r="A11" s="151" t="s">
        <v>107</v>
      </c>
      <c r="B11" s="152">
        <f>(_2045_Peak_Period_Volume/'Inputs &amp; Outputs'!$C$27)^(1/(2045-2018))-1</f>
        <v>2.4562761571354619E-2</v>
      </c>
      <c r="D11" s="151" t="s">
        <v>108</v>
      </c>
      <c r="E11" s="153">
        <f>IF('Inputs &amp; Outputs'!$C$8='CRASH RATES'!$D$3, VLOOKUP('Inputs &amp; Outputs'!$C$7,'CRASH RATES'!$C$14:$J$21,5,FALSE), VLOOKUP('Inputs &amp; Outputs'!$C$7,'CRASH RATES'!$C$28:$J$35,5,FALSE))</f>
        <v>24.065057724578939</v>
      </c>
      <c r="F11" s="154"/>
      <c r="L11" s="135"/>
      <c r="M11" s="143">
        <f t="shared" si="1"/>
        <v>2025</v>
      </c>
      <c r="N11" s="144">
        <f t="shared" si="6"/>
        <v>7353.9279411764701</v>
      </c>
      <c r="O11" s="145">
        <f t="shared" si="2"/>
        <v>-7.6671148026882241E-3</v>
      </c>
      <c r="P11" s="146">
        <f t="shared" si="3"/>
        <v>0.36942188246536067</v>
      </c>
      <c r="Q11" s="147">
        <f t="shared" si="4"/>
        <v>1</v>
      </c>
      <c r="R11" s="37">
        <f>IF(M11=Year_Open_to_Traffic?,Calculations!$J$5,Calculations!R10+(Calculations!R10*Calculations!O11*Q11))</f>
        <v>1122435.8824245979</v>
      </c>
      <c r="S11" s="54">
        <f t="shared" si="0"/>
        <v>1</v>
      </c>
      <c r="T11" s="37">
        <f t="shared" si="5"/>
        <v>1122.4358824245978</v>
      </c>
      <c r="U11" s="141">
        <f>T11/(1+Real_Discount_Rate)^(Calculations!M11-'Assumed Values'!$C$5)</f>
        <v>698.9966560619215</v>
      </c>
    </row>
    <row r="12" spans="1:21" ht="15.75">
      <c r="A12" s="151" t="s">
        <v>109</v>
      </c>
      <c r="B12" s="155">
        <f>'Inputs &amp; Outputs'!C27/_2018_Peak_Period_Capacity</f>
        <v>0.38987099856665075</v>
      </c>
      <c r="D12" s="151" t="s">
        <v>110</v>
      </c>
      <c r="E12" s="153">
        <f>IF('Inputs &amp; Outputs'!$C$8='CRASH RATES'!$D$3, VLOOKUP('Inputs &amp; Outputs'!$C$7,'CRASH RATES'!$C$14:$J$21,6,FALSE), VLOOKUP('Inputs &amp; Outputs'!$C$7,'CRASH RATES'!$C$28:$J$35,6,FALSE))</f>
        <v>52.349313881389243</v>
      </c>
      <c r="F12" s="154"/>
      <c r="L12" s="135"/>
      <c r="M12" s="136">
        <f t="shared" si="1"/>
        <v>2026</v>
      </c>
      <c r="N12" s="144">
        <f t="shared" si="6"/>
        <v>7619.3224144408596</v>
      </c>
      <c r="O12" s="145">
        <f t="shared" ref="O12:O36" si="7">IFERROR(_2025_2045_Demand_Growth,_2018_2045_Demand_Growth)</f>
        <v>3.6088805246292877E-2</v>
      </c>
      <c r="P12" s="146">
        <f t="shared" ref="P12:P36" si="8">P11*(1+IFERROR(_2025_2040_V_C_Growth,_2018_2045_V_C_Growth))</f>
        <v>0.38275387683537199</v>
      </c>
      <c r="Q12" s="147">
        <f t="shared" si="4"/>
        <v>1</v>
      </c>
      <c r="R12" s="37">
        <f>IF(M12=Year_Open_to_Traffic?,Calculations!$J$5,Calculations!R11+(Calculations!R11*Calculations!O12*Q12))</f>
        <v>1162943.2523868701</v>
      </c>
      <c r="S12" s="54">
        <f t="shared" si="0"/>
        <v>1</v>
      </c>
      <c r="T12" s="37">
        <f t="shared" si="5"/>
        <v>1162.9432523868702</v>
      </c>
      <c r="U12" s="141">
        <f>T12/(1+Real_Discount_Rate)^(Calculations!M12-'Assumed Values'!$C$5)</f>
        <v>676.84356098163585</v>
      </c>
    </row>
    <row r="13" spans="1:21" ht="15.75">
      <c r="A13" s="151" t="s">
        <v>111</v>
      </c>
      <c r="B13" s="155">
        <f>_2025_Peak_Period_Volume/_2025_Peak_Period_Capacity</f>
        <v>0.36942188246536073</v>
      </c>
      <c r="D13" s="151" t="s">
        <v>112</v>
      </c>
      <c r="E13" s="153">
        <f>IF('Inputs &amp; Outputs'!$C$8='CRASH RATES'!$D$3, VLOOKUP('Inputs &amp; Outputs'!$C$7,'CRASH RATES'!$C$14:$J$21,7,FALSE), VLOOKUP('Inputs &amp; Outputs'!$C$7,'CRASH RATES'!$C$28:$J$35,7,FALSE))</f>
        <v>389.41638863409548</v>
      </c>
      <c r="F13" s="154"/>
      <c r="L13" s="135"/>
      <c r="M13" s="143">
        <f t="shared" si="1"/>
        <v>2027</v>
      </c>
      <c r="N13" s="144">
        <f t="shared" si="6"/>
        <v>7894.2946571643297</v>
      </c>
      <c r="O13" s="145">
        <f t="shared" si="7"/>
        <v>3.6088805246292877E-2</v>
      </c>
      <c r="P13" s="146">
        <f t="shared" si="8"/>
        <v>0.3965670069537473</v>
      </c>
      <c r="Q13" s="147">
        <f t="shared" si="4"/>
        <v>1</v>
      </c>
      <c r="R13" s="37">
        <f>IF(M13=Year_Open_to_Traffic?,Calculations!$J$5,Calculations!R12+(Calculations!R12*Calculations!O13*Q13))</f>
        <v>1204912.4849347502</v>
      </c>
      <c r="S13" s="54">
        <f t="shared" si="0"/>
        <v>1</v>
      </c>
      <c r="T13" s="37">
        <f t="shared" si="5"/>
        <v>1204.9124849347502</v>
      </c>
      <c r="U13" s="141">
        <f>T13/(1+Real_Discount_Rate)^(Calculations!M13-'Assumed Values'!$C$5)</f>
        <v>655.39255741692455</v>
      </c>
    </row>
    <row r="14" spans="1:21" ht="15.75">
      <c r="A14" s="151" t="s">
        <v>113</v>
      </c>
      <c r="B14" s="155">
        <f>_2045_Peak_Period_Volume/_2045_Peak_Period_Capacity</f>
        <v>0.7506927854753942</v>
      </c>
      <c r="D14" s="151" t="s">
        <v>114</v>
      </c>
      <c r="E14" s="153">
        <f>IF('Inputs &amp; Outputs'!$C$8='CRASH RATES'!$D$3, VLOOKUP('Inputs &amp; Outputs'!$C$7,'CRASH RATES'!$C$14:$J$21,8,FALSE), VLOOKUP('Inputs &amp; Outputs'!$C$7,'CRASH RATES'!$C$28:$J$35,8,FALSE))</f>
        <v>13.126395122497602</v>
      </c>
      <c r="F14" s="154"/>
      <c r="L14" s="135"/>
      <c r="M14" s="136">
        <f>M13+1</f>
        <v>2028</v>
      </c>
      <c r="N14" s="144">
        <f t="shared" si="6"/>
        <v>8179.1903196035837</v>
      </c>
      <c r="O14" s="145">
        <f t="shared" si="7"/>
        <v>3.6088805246292877E-2</v>
      </c>
      <c r="P14" s="146">
        <f>P13*(1+IFERROR(_2025_2040_V_C_Growth,_2018_2045_V_C_Growth))</f>
        <v>0.41087863643480638</v>
      </c>
      <c r="Q14" s="147">
        <f t="shared" si="4"/>
        <v>1</v>
      </c>
      <c r="R14" s="37">
        <f>IF(M14=Year_Open_to_Traffic?,Calculations!$J$5,Calculations!R13+(Calculations!R13*Calculations!O14*Q14))</f>
        <v>1248396.3369423873</v>
      </c>
      <c r="S14" s="54">
        <f t="shared" si="0"/>
        <v>1</v>
      </c>
      <c r="T14" s="37">
        <f t="shared" si="5"/>
        <v>1248.3963369423873</v>
      </c>
      <c r="U14" s="141">
        <f>T14/(1+Real_Discount_Rate)^(Calculations!M14-'Assumed Values'!$C$5)</f>
        <v>634.62139418823722</v>
      </c>
    </row>
    <row r="15" spans="1:21" ht="15.75">
      <c r="A15" s="151" t="s">
        <v>115</v>
      </c>
      <c r="B15" s="152">
        <f>(B13/B12)^(1/(2025-2018))-1</f>
        <v>-7.6671148026882241E-3</v>
      </c>
      <c r="L15" s="135"/>
      <c r="M15" s="143">
        <f>M14+1</f>
        <v>2029</v>
      </c>
      <c r="N15" s="144">
        <f t="shared" si="6"/>
        <v>8474.3675261201206</v>
      </c>
      <c r="O15" s="145">
        <f t="shared" si="7"/>
        <v>3.6088805246292877E-2</v>
      </c>
      <c r="P15" s="146">
        <f>P14*(1+IFERROR(_2025_2040_V_C_Growth,_2018_2045_V_C_Growth))</f>
        <v>0.42570675552496445</v>
      </c>
      <c r="Q15" s="147">
        <f t="shared" si="4"/>
        <v>1</v>
      </c>
      <c r="R15" s="37">
        <f>IF(M15=Year_Open_to_Traffic?,Calculations!$J$5,Calculations!R14+(Calculations!R14*Calculations!O15*Q15))</f>
        <v>1293449.4692164864</v>
      </c>
      <c r="S15" s="54">
        <f t="shared" si="0"/>
        <v>1</v>
      </c>
      <c r="T15" s="37">
        <f t="shared" si="5"/>
        <v>1293.4494692164865</v>
      </c>
      <c r="U15" s="141">
        <f>T15/(1+Real_Discount_Rate)^(Calculations!M15-'Assumed Values'!$C$5)</f>
        <v>614.5085253161003</v>
      </c>
    </row>
    <row r="16" spans="1:21" ht="15.75">
      <c r="A16" s="151" t="s">
        <v>116</v>
      </c>
      <c r="B16" s="152">
        <f>(B14/B13)^(1/(2045-2025))-1</f>
        <v>3.6088805246292877E-2</v>
      </c>
      <c r="D16" s="156" t="s">
        <v>117</v>
      </c>
      <c r="E16" s="150"/>
      <c r="L16" s="135"/>
      <c r="M16" s="136">
        <f t="shared" si="1"/>
        <v>2030</v>
      </c>
      <c r="N16" s="144">
        <f t="shared" si="6"/>
        <v>8780.197325355779</v>
      </c>
      <c r="O16" s="145">
        <f t="shared" si="7"/>
        <v>3.6088805246292877E-2</v>
      </c>
      <c r="P16" s="146">
        <f t="shared" si="8"/>
        <v>0.44107000371713612</v>
      </c>
      <c r="Q16" s="147">
        <f t="shared" si="4"/>
        <v>1</v>
      </c>
      <c r="R16" s="37">
        <f>IF(M16=Year_Open_to_Traffic?,Calculations!$J$5,Calculations!R15+(Calculations!R15*Calculations!O16*Q16))</f>
        <v>1340128.5152069612</v>
      </c>
      <c r="S16" s="54">
        <f t="shared" si="0"/>
        <v>1</v>
      </c>
      <c r="T16" s="37">
        <f t="shared" si="5"/>
        <v>1340.1285152069611</v>
      </c>
      <c r="U16" s="141">
        <f>T16/(1+Real_Discount_Rate)^(Calculations!M16-'Assumed Values'!$C$5)</f>
        <v>595.03308767142028</v>
      </c>
    </row>
    <row r="17" spans="1:21" ht="15.75">
      <c r="A17" s="151" t="s">
        <v>118</v>
      </c>
      <c r="B17" s="152">
        <f>(B14/B12)^(1/(2045-2018))-1</f>
        <v>2.4562761571354619E-2</v>
      </c>
      <c r="D17" s="151" t="s">
        <v>119</v>
      </c>
      <c r="E17" s="157">
        <f>($E$6*Death_Rate)/100000000</f>
        <v>0.36416462807750544</v>
      </c>
      <c r="L17" s="135"/>
      <c r="M17" s="143">
        <f t="shared" si="1"/>
        <v>2031</v>
      </c>
      <c r="N17" s="144">
        <f t="shared" si="6"/>
        <v>9097.0641566545655</v>
      </c>
      <c r="O17" s="145">
        <f t="shared" si="7"/>
        <v>3.6088805246292877E-2</v>
      </c>
      <c r="P17" s="146">
        <f t="shared" si="8"/>
        <v>0.45698769318126553</v>
      </c>
      <c r="Q17" s="147">
        <f t="shared" si="4"/>
        <v>1</v>
      </c>
      <c r="R17" s="37">
        <f>IF(M17=Year_Open_to_Traffic?,Calculations!$J$5,Calculations!R16+(Calculations!R16*Calculations!O17*Q17))</f>
        <v>1388492.1521972688</v>
      </c>
      <c r="S17" s="54">
        <f t="shared" si="0"/>
        <v>1</v>
      </c>
      <c r="T17" s="37">
        <f t="shared" si="5"/>
        <v>1388.4921521972688</v>
      </c>
      <c r="U17" s="141">
        <f>T17/(1+Real_Discount_Rate)^(Calculations!M17-'Assumed Values'!$C$5)</f>
        <v>576.174879334107</v>
      </c>
    </row>
    <row r="18" spans="1:21" ht="15.75">
      <c r="D18" s="151" t="s">
        <v>120</v>
      </c>
      <c r="E18" s="157">
        <f>($E$6*Incap_Injry_Rate)/100000000</f>
        <v>0.6747756343789072</v>
      </c>
      <c r="L18" s="135"/>
      <c r="M18" s="136">
        <f t="shared" si="1"/>
        <v>2032</v>
      </c>
      <c r="N18" s="144">
        <f t="shared" si="6"/>
        <v>9425.3663333171044</v>
      </c>
      <c r="O18" s="145">
        <f t="shared" si="7"/>
        <v>3.6088805246292877E-2</v>
      </c>
      <c r="P18" s="146">
        <f t="shared" si="8"/>
        <v>0.47347983304043689</v>
      </c>
      <c r="Q18" s="147">
        <f t="shared" si="4"/>
        <v>1</v>
      </c>
      <c r="R18" s="37">
        <f>IF(M18=Year_Open_to_Traffic?,Calculations!$J$5,Calculations!R17+(Calculations!R17*Calculations!O18*Q18))</f>
        <v>1438601.1750639221</v>
      </c>
      <c r="S18" s="54">
        <f t="shared" si="0"/>
        <v>1</v>
      </c>
      <c r="T18" s="37">
        <f t="shared" si="5"/>
        <v>1438.601175063922</v>
      </c>
      <c r="U18" s="141">
        <f>T18/(1+Real_Discount_Rate)^(Calculations!M18-'Assumed Values'!$C$5)</f>
        <v>557.91433863757186</v>
      </c>
    </row>
    <row r="19" spans="1:21" ht="15.75">
      <c r="D19" s="151" t="s">
        <v>121</v>
      </c>
      <c r="E19" s="157">
        <f>($E$6*Nonincap_Injry_Rate)/100000000</f>
        <v>1.6494515507039955</v>
      </c>
      <c r="L19" s="135"/>
      <c r="M19" s="143">
        <f t="shared" si="1"/>
        <v>2033</v>
      </c>
      <c r="N19" s="144">
        <f t="shared" si="6"/>
        <v>9765.5165432951508</v>
      </c>
      <c r="O19" s="145">
        <f t="shared" si="7"/>
        <v>3.6088805246292877E-2</v>
      </c>
      <c r="P19" s="146">
        <f t="shared" si="8"/>
        <v>0.49056715452308047</v>
      </c>
      <c r="Q19" s="147">
        <f t="shared" si="4"/>
        <v>1</v>
      </c>
      <c r="R19" s="37">
        <f>IF(M19=Year_Open_to_Traffic?,Calculations!$J$5,Calculations!R18+(Calculations!R18*Calculations!O19*Q19))</f>
        <v>1490518.5726978921</v>
      </c>
      <c r="S19" s="54">
        <f t="shared" si="0"/>
        <v>0</v>
      </c>
      <c r="T19" s="37">
        <f t="shared" si="5"/>
        <v>0</v>
      </c>
      <c r="U19" s="141">
        <f>T19/(1+Real_Discount_Rate)^(Calculations!M19-'Assumed Values'!$C$5)</f>
        <v>0</v>
      </c>
    </row>
    <row r="20" spans="1:21" ht="15.75">
      <c r="D20" s="151" t="s">
        <v>122</v>
      </c>
      <c r="E20" s="157">
        <f>($E$6*Poss_Injry_Rate/100000000)</f>
        <v>3.5880926589989506</v>
      </c>
      <c r="L20" s="135"/>
      <c r="M20" s="136">
        <f t="shared" si="1"/>
        <v>2034</v>
      </c>
      <c r="N20" s="144">
        <f t="shared" si="6"/>
        <v>10117.94236795558</v>
      </c>
      <c r="O20" s="145">
        <f t="shared" si="7"/>
        <v>3.6088805246292877E-2</v>
      </c>
      <c r="P20" s="146">
        <f t="shared" si="8"/>
        <v>0.50827113702289195</v>
      </c>
      <c r="Q20" s="147">
        <f t="shared" si="4"/>
        <v>1</v>
      </c>
      <c r="R20" s="37">
        <f>IF(M20=Year_Open_to_Traffic?,Calculations!$J$5,Calculations!R19+(Calculations!R19*Calculations!O20*Q20))</f>
        <v>1544309.6071839686</v>
      </c>
      <c r="S20" s="54">
        <f t="shared" si="0"/>
        <v>0</v>
      </c>
      <c r="T20" s="37">
        <f t="shared" si="5"/>
        <v>0</v>
      </c>
      <c r="U20" s="141">
        <f>T20/(1+Real_Discount_Rate)^(Calculations!M20-'Assumed Values'!$C$5)</f>
        <v>0</v>
      </c>
    </row>
    <row r="21" spans="1:21" ht="15.75">
      <c r="D21" s="151" t="s">
        <v>123</v>
      </c>
      <c r="E21" s="157">
        <f>($E$6*Non_Injry_Rate)/100000000</f>
        <v>26.691125093210101</v>
      </c>
      <c r="L21" s="135"/>
      <c r="M21" s="143">
        <f>M20+1</f>
        <v>2035</v>
      </c>
      <c r="N21" s="144">
        <f t="shared" si="6"/>
        <v>10483.086819565944</v>
      </c>
      <c r="O21" s="145">
        <f t="shared" si="7"/>
        <v>3.6088805246292877E-2</v>
      </c>
      <c r="P21" s="146">
        <f>P20*(1+IFERROR(_2025_2040_V_C_Growth,_2018_2045_V_C_Growth))</f>
        <v>0.52661403509922289</v>
      </c>
      <c r="Q21" s="147">
        <f t="shared" si="4"/>
        <v>1</v>
      </c>
      <c r="R21" s="37">
        <f>IF(M21=Year_Open_to_Traffic?,Calculations!$J$5,Calculations!R20+(Calculations!R20*Calculations!O21*Q21))</f>
        <v>1600041.8958376099</v>
      </c>
      <c r="S21" s="54">
        <f t="shared" si="0"/>
        <v>0</v>
      </c>
      <c r="T21" s="37">
        <f t="shared" si="5"/>
        <v>0</v>
      </c>
      <c r="U21" s="141">
        <f>T21/(1+Real_Discount_Rate)^(Calculations!M21-'Assumed Values'!$C$5)</f>
        <v>0</v>
      </c>
    </row>
    <row r="22" spans="1:21" ht="15.75">
      <c r="D22" s="151" t="s">
        <v>124</v>
      </c>
      <c r="E22" s="157">
        <f>($E$6*Unkn_Injry_Rate)/100000000</f>
        <v>0.89970084583854293</v>
      </c>
      <c r="L22" s="135"/>
      <c r="M22" s="136">
        <f>M21+1</f>
        <v>2036</v>
      </c>
      <c r="N22" s="144">
        <f t="shared" si="6"/>
        <v>10861.408898177238</v>
      </c>
      <c r="O22" s="145">
        <f t="shared" si="7"/>
        <v>3.6088805246292877E-2</v>
      </c>
      <c r="P22" s="146">
        <f t="shared" si="8"/>
        <v>0.54561890645188316</v>
      </c>
      <c r="Q22" s="147">
        <f t="shared" si="4"/>
        <v>1</v>
      </c>
      <c r="R22" s="37">
        <f>IF(M22=Year_Open_to_Traffic?,Calculations!$J$5,Calculations!R21+(Calculations!R21*Calculations!O22*Q22))</f>
        <v>1657785.4962024025</v>
      </c>
      <c r="S22" s="54">
        <f t="shared" si="0"/>
        <v>0</v>
      </c>
      <c r="T22" s="37">
        <f t="shared" si="5"/>
        <v>0</v>
      </c>
      <c r="U22" s="141">
        <f>T22/(1+Real_Discount_Rate)^(Calculations!M22-'Assumed Values'!$C$5)</f>
        <v>0</v>
      </c>
    </row>
    <row r="23" spans="1:21" ht="15.75">
      <c r="L23" s="135"/>
      <c r="M23" s="143">
        <f t="shared" si="1"/>
        <v>2037</v>
      </c>
      <c r="N23" s="144">
        <f t="shared" si="6"/>
        <v>11253.384168603909</v>
      </c>
      <c r="O23" s="145">
        <f t="shared" si="7"/>
        <v>3.6088805246292877E-2</v>
      </c>
      <c r="P23" s="146">
        <f t="shared" si="8"/>
        <v>0.56530964090552049</v>
      </c>
      <c r="Q23" s="147">
        <f t="shared" si="4"/>
        <v>1</v>
      </c>
      <c r="R23" s="37">
        <f>IF(M23=Year_Open_to_Traffic?,Calculations!$J$5,Calculations!R22+(Calculations!R22*Calculations!O23*Q23))</f>
        <v>1717612.9941149801</v>
      </c>
      <c r="S23" s="54">
        <f t="shared" si="0"/>
        <v>0</v>
      </c>
      <c r="T23" s="37">
        <f t="shared" si="5"/>
        <v>0</v>
      </c>
      <c r="U23" s="141">
        <f>T23/(1+Real_Discount_Rate)^(Calculations!M23-'Assumed Values'!$C$5)</f>
        <v>0</v>
      </c>
    </row>
    <row r="24" spans="1:21" ht="15.75">
      <c r="L24" s="135"/>
      <c r="M24" s="136">
        <f t="shared" si="1"/>
        <v>2038</v>
      </c>
      <c r="N24" s="144">
        <f t="shared" si="6"/>
        <v>11659.50535822637</v>
      </c>
      <c r="O24" s="145">
        <f t="shared" si="7"/>
        <v>3.6088805246292877E-2</v>
      </c>
      <c r="P24" s="146">
        <f t="shared" si="8"/>
        <v>0.58571099044001163</v>
      </c>
      <c r="Q24" s="147">
        <f t="shared" si="4"/>
        <v>1</v>
      </c>
      <c r="R24" s="37">
        <f>IF(M24=Year_Open_to_Traffic?,Calculations!$J$5,Calculations!R23+(Calculations!R23*Calculations!O24*Q24))</f>
        <v>1779599.5949480976</v>
      </c>
      <c r="S24" s="54">
        <f t="shared" si="0"/>
        <v>0</v>
      </c>
      <c r="T24" s="37">
        <f t="shared" si="5"/>
        <v>0</v>
      </c>
      <c r="U24" s="141">
        <f>T24/(1+Real_Discount_Rate)^(Calculations!M24-'Assumed Values'!$C$5)</f>
        <v>0</v>
      </c>
    </row>
    <row r="25" spans="1:21" ht="15.75">
      <c r="A25" s="181" t="s">
        <v>125</v>
      </c>
      <c r="B25" s="181"/>
      <c r="D25" s="158" t="s">
        <v>119</v>
      </c>
      <c r="E25" s="158" t="s">
        <v>120</v>
      </c>
      <c r="F25" s="158" t="s">
        <v>121</v>
      </c>
      <c r="G25" s="158" t="s">
        <v>122</v>
      </c>
      <c r="H25" s="158" t="s">
        <v>123</v>
      </c>
      <c r="I25" s="158" t="s">
        <v>124</v>
      </c>
      <c r="J25" s="182" t="s">
        <v>126</v>
      </c>
      <c r="L25" s="135"/>
      <c r="M25" s="143">
        <f t="shared" si="1"/>
        <v>2039</v>
      </c>
      <c r="N25" s="144">
        <f t="shared" si="6"/>
        <v>12080.282976367509</v>
      </c>
      <c r="O25" s="145">
        <f t="shared" si="7"/>
        <v>3.6088805246292877E-2</v>
      </c>
      <c r="P25" s="146">
        <f t="shared" si="8"/>
        <v>0.60684860030461452</v>
      </c>
      <c r="Q25" s="147">
        <f t="shared" si="4"/>
        <v>1</v>
      </c>
      <c r="R25" s="37">
        <f>IF(M25=Year_Open_to_Traffic?,Calculations!$J$5,Calculations!R24+(Calculations!R24*Calculations!O25*Q25))</f>
        <v>1843823.2181465612</v>
      </c>
      <c r="S25" s="54">
        <f t="shared" si="0"/>
        <v>0</v>
      </c>
      <c r="T25" s="37">
        <f t="shared" si="5"/>
        <v>0</v>
      </c>
      <c r="U25" s="141">
        <f>T25/(1+Real_Discount_Rate)^(Calculations!M25-'Assumed Values'!$C$5)</f>
        <v>0</v>
      </c>
    </row>
    <row r="26" spans="1:21" ht="15.75">
      <c r="A26" s="181"/>
      <c r="B26" s="181"/>
      <c r="D26" s="159">
        <f>Calculations!E17</f>
        <v>0.36416462807750544</v>
      </c>
      <c r="E26" s="159">
        <f>Calculations!E18</f>
        <v>0.6747756343789072</v>
      </c>
      <c r="F26" s="159">
        <f>Calculations!E19</f>
        <v>1.6494515507039955</v>
      </c>
      <c r="G26" s="159">
        <f>Calculations!E20</f>
        <v>3.5880926589989506</v>
      </c>
      <c r="H26" s="159">
        <f>Calculations!E21</f>
        <v>26.691125093210101</v>
      </c>
      <c r="I26" s="159">
        <f>Calculations!E22</f>
        <v>0.89970084583854293</v>
      </c>
      <c r="J26" s="182"/>
      <c r="L26" s="135"/>
      <c r="M26" s="136">
        <f t="shared" si="1"/>
        <v>2040</v>
      </c>
      <c r="N26" s="144">
        <f t="shared" si="6"/>
        <v>12516.245956021743</v>
      </c>
      <c r="O26" s="145">
        <f t="shared" si="7"/>
        <v>3.6088805246292877E-2</v>
      </c>
      <c r="P26" s="146">
        <f t="shared" si="8"/>
        <v>0.6287490412549932</v>
      </c>
      <c r="Q26" s="147">
        <f t="shared" si="4"/>
        <v>1</v>
      </c>
      <c r="R26" s="37">
        <f>IF(M26=Year_Open_to_Traffic?,Calculations!$J$5,Calculations!R25+(Calculations!R25*Calculations!O26*Q26))</f>
        <v>1910364.5951748453</v>
      </c>
      <c r="S26" s="54">
        <f t="shared" si="0"/>
        <v>0</v>
      </c>
      <c r="T26" s="37">
        <f t="shared" si="5"/>
        <v>0</v>
      </c>
      <c r="U26" s="141">
        <f>T26/(1+Real_Discount_Rate)^(Calculations!M26-'Assumed Values'!$C$5)</f>
        <v>0</v>
      </c>
    </row>
    <row r="27" spans="1:21" ht="15.75">
      <c r="A27" s="160" t="s">
        <v>127</v>
      </c>
      <c r="B27" s="161" t="s">
        <v>128</v>
      </c>
      <c r="D27" s="162">
        <f>D$26*'Value of Statistical Life'!D17*Appropriate_Crash_Reduction_Factor</f>
        <v>0</v>
      </c>
      <c r="E27" s="162">
        <f>E$26*'Value of Statistical Life'!E17*Appropriate_Crash_Reduction_Factor</f>
        <v>5.79800963840076E-3</v>
      </c>
      <c r="F27" s="162">
        <f>F$26*'Value of Statistical Life'!F17*Appropriate_Crash_Reduction_Factor</f>
        <v>3.4419930234315631E-2</v>
      </c>
      <c r="G27" s="162">
        <f>G$26*'Value of Statistical Life'!G17*Appropriate_Crash_Reduction_Factor</f>
        <v>0.21023531912239601</v>
      </c>
      <c r="H27" s="162">
        <f>H$26*'Value of Statistical Life'!H17*Appropriate_Crash_Reduction_Factor</f>
        <v>6.174591423437759</v>
      </c>
      <c r="I27" s="162">
        <f>I$26*'Value of Statistical Life'!I17*Appropriate_Crash_Reduction_Factor</f>
        <v>9.8238335357110504E-2</v>
      </c>
      <c r="J27" s="162">
        <f t="shared" ref="J27:J33" si="9">SUM(D27:I27)</f>
        <v>6.5232830177899821</v>
      </c>
      <c r="K27" s="163"/>
      <c r="L27" s="135"/>
      <c r="M27" s="143">
        <f t="shared" si="1"/>
        <v>2041</v>
      </c>
      <c r="N27" s="144">
        <f t="shared" si="6"/>
        <v>12967.942318743313</v>
      </c>
      <c r="O27" s="145">
        <f t="shared" si="7"/>
        <v>3.6088805246292877E-2</v>
      </c>
      <c r="P27" s="146">
        <f t="shared" si="8"/>
        <v>0.65143984295363799</v>
      </c>
      <c r="Q27" s="147">
        <f t="shared" si="4"/>
        <v>1</v>
      </c>
      <c r="R27" s="37">
        <f>IF(M27=Year_Open_to_Traffic?,Calculations!$J$5,Calculations!R26+(Calculations!R26*Calculations!O27*Q27))</f>
        <v>1979307.3709995234</v>
      </c>
      <c r="S27" s="54">
        <f t="shared" si="0"/>
        <v>0</v>
      </c>
      <c r="T27" s="37">
        <f t="shared" si="5"/>
        <v>0</v>
      </c>
      <c r="U27" s="141">
        <f>T27/(1+Real_Discount_Rate)^(Calculations!M27-'Assumed Values'!$C$5)</f>
        <v>0</v>
      </c>
    </row>
    <row r="28" spans="1:21" ht="15.75">
      <c r="A28" s="160" t="s">
        <v>129</v>
      </c>
      <c r="B28" s="164" t="s">
        <v>130</v>
      </c>
      <c r="D28" s="162">
        <f>D$26*'Value of Statistical Life'!D18*Appropriate_Crash_Reduction_Factor</f>
        <v>0</v>
      </c>
      <c r="E28" s="162">
        <f>E$26*'Value of Statistical Life'!E18*Appropriate_Crash_Reduction_Factor</f>
        <v>9.3539085376690076E-2</v>
      </c>
      <c r="F28" s="162">
        <f>F$26*'Value of Statistical Life'!F18*Appropriate_Crash_Reduction_Factor</f>
        <v>0.3168720137768678</v>
      </c>
      <c r="G28" s="162">
        <f>G$26*'Value of Statistical Life'!G18*Appropriate_Crash_Reduction_Factor</f>
        <v>0.61846159116835409</v>
      </c>
      <c r="H28" s="162">
        <f>H$26*'Value of Statistical Life'!H18*Appropriate_Crash_Reduction_Factor</f>
        <v>0.48424373700356421</v>
      </c>
      <c r="I28" s="162">
        <f>I$26*'Value of Statistical Life'!I18*Appropriate_Crash_Reduction_Factor</f>
        <v>9.3881534011137358E-2</v>
      </c>
      <c r="J28" s="162">
        <f t="shared" si="9"/>
        <v>1.6069979613366134</v>
      </c>
      <c r="K28" s="163"/>
      <c r="L28" s="135"/>
      <c r="M28" s="136">
        <f t="shared" si="1"/>
        <v>2042</v>
      </c>
      <c r="N28" s="144">
        <f t="shared" si="6"/>
        <v>13435.9398635296</v>
      </c>
      <c r="O28" s="145">
        <f t="shared" si="7"/>
        <v>3.6088805246292877E-2</v>
      </c>
      <c r="P28" s="146">
        <f t="shared" si="8"/>
        <v>0.67494952857566748</v>
      </c>
      <c r="Q28" s="147">
        <f t="shared" si="4"/>
        <v>1</v>
      </c>
      <c r="R28" s="37">
        <f>IF(M28=Year_Open_to_Traffic?,Calculations!$J$5,Calculations!R27+(Calculations!R27*Calculations!O28*Q28))</f>
        <v>2050738.2092340773</v>
      </c>
      <c r="S28" s="54">
        <f t="shared" si="0"/>
        <v>0</v>
      </c>
      <c r="T28" s="37">
        <f t="shared" si="5"/>
        <v>0</v>
      </c>
      <c r="U28" s="141">
        <f>T28/(1+Real_Discount_Rate)^(Calculations!M28-'Assumed Values'!$C$5)</f>
        <v>0</v>
      </c>
    </row>
    <row r="29" spans="1:21" ht="15.75">
      <c r="A29" s="160" t="s">
        <v>131</v>
      </c>
      <c r="B29" s="164" t="s">
        <v>132</v>
      </c>
      <c r="D29" s="162">
        <f>D$26*'Value of Statistical Life'!D19*Appropriate_Crash_Reduction_Factor</f>
        <v>0</v>
      </c>
      <c r="E29" s="162">
        <f>E$26*'Value of Statistical Life'!E19*Appropriate_Crash_Reduction_Factor</f>
        <v>3.5270522408985476E-2</v>
      </c>
      <c r="F29" s="162">
        <f>F$26*'Value of Statistical Life'!F19*Appropriate_Crash_Reduction_Factor</f>
        <v>4.4939307498930353E-2</v>
      </c>
      <c r="G29" s="162">
        <f>G$26*'Value of Statistical Life'!G19*Appropriate_Crash_Reduction_Factor</f>
        <v>5.7328750459155725E-2</v>
      </c>
      <c r="H29" s="162">
        <f>H$26*'Value of Statistical Life'!H19*Appropriate_Crash_Reduction_Factor</f>
        <v>1.3212106921139E-2</v>
      </c>
      <c r="I29" s="162">
        <f>I$26*'Value of Statistical Life'!I19*Appropriate_Crash_Reduction_Factor</f>
        <v>1.9955364760698882E-2</v>
      </c>
      <c r="J29" s="162">
        <f t="shared" si="9"/>
        <v>0.17070605204890943</v>
      </c>
      <c r="K29" s="163"/>
      <c r="L29" s="135"/>
      <c r="M29" s="143">
        <f t="shared" si="1"/>
        <v>2043</v>
      </c>
      <c r="N29" s="144">
        <f t="shared" si="6"/>
        <v>13920.826880565422</v>
      </c>
      <c r="O29" s="145">
        <f t="shared" si="7"/>
        <v>3.6088805246292877E-2</v>
      </c>
      <c r="P29" s="146">
        <f t="shared" si="8"/>
        <v>0.69930765066351197</v>
      </c>
      <c r="Q29" s="147">
        <f t="shared" si="4"/>
        <v>1</v>
      </c>
      <c r="R29" s="37">
        <f>IF(M29=Year_Open_to_Traffic?,Calculations!$J$5,Calculations!R28+(Calculations!R28*Calculations!O29*Q29))</f>
        <v>2124746.9010782572</v>
      </c>
      <c r="S29" s="54">
        <f t="shared" si="0"/>
        <v>0</v>
      </c>
      <c r="T29" s="37">
        <f t="shared" si="5"/>
        <v>0</v>
      </c>
      <c r="U29" s="141">
        <f>T29/(1+Real_Discount_Rate)^(Calculations!M29-'Assumed Values'!$C$5)</f>
        <v>0</v>
      </c>
    </row>
    <row r="30" spans="1:21" ht="15.75">
      <c r="A30" s="160" t="s">
        <v>133</v>
      </c>
      <c r="B30" s="164" t="s">
        <v>134</v>
      </c>
      <c r="D30" s="162">
        <f>D$26*'Value of Statistical Life'!D20*Appropriate_Crash_Reduction_Factor</f>
        <v>0</v>
      </c>
      <c r="E30" s="162">
        <f>E$26*'Value of Statistical Life'!E20*Appropriate_Crash_Reduction_Factor</f>
        <v>2.4354339583820706E-2</v>
      </c>
      <c r="F30" s="162">
        <f>F$26*'Value of Statistical Life'!F20*Appropriate_Crash_Reduction_Factor</f>
        <v>1.3158499745741124E-2</v>
      </c>
      <c r="G30" s="162">
        <f>G$26*'Value of Statistical Life'!G20*Appropriate_Crash_Reduction_Factor</f>
        <v>9.6071180944696903E-3</v>
      </c>
      <c r="H30" s="162">
        <f>H$26*'Value of Statistical Life'!H20*Appropriate_Crash_Reduction_Factor</f>
        <v>5.3382250186420209E-4</v>
      </c>
      <c r="I30" s="162">
        <f>I$26*'Value of Statistical Life'!I20*Appropriate_Crash_Reduction_Factor</f>
        <v>1.0834647436010652E-2</v>
      </c>
      <c r="J30" s="162">
        <f t="shared" si="9"/>
        <v>5.8488427361906375E-2</v>
      </c>
      <c r="K30" s="163"/>
      <c r="L30" s="135"/>
      <c r="M30" s="143">
        <f t="shared" si="1"/>
        <v>2044</v>
      </c>
      <c r="N30" s="144">
        <f t="shared" si="6"/>
        <v>14423.212890725506</v>
      </c>
      <c r="O30" s="145">
        <f t="shared" si="7"/>
        <v>3.6088805246292877E-2</v>
      </c>
      <c r="P30" s="146">
        <f t="shared" si="8"/>
        <v>0.72454482827555011</v>
      </c>
      <c r="Q30" s="147">
        <f t="shared" si="4"/>
        <v>1</v>
      </c>
      <c r="R30" s="37">
        <f>IF(M30=Year_Open_to_Traffic?,Calculations!$J$5,Calculations!R29+(Calculations!R29*Calculations!O30*Q30))</f>
        <v>2201426.4781889347</v>
      </c>
      <c r="S30" s="54">
        <f t="shared" si="0"/>
        <v>0</v>
      </c>
      <c r="T30" s="37">
        <f t="shared" si="5"/>
        <v>0</v>
      </c>
      <c r="U30" s="141">
        <f>T30/(1+Real_Discount_Rate)^(Calculations!M30-'Assumed Values'!$C$5)</f>
        <v>0</v>
      </c>
    </row>
    <row r="31" spans="1:21" ht="15.75">
      <c r="A31" s="160" t="s">
        <v>135</v>
      </c>
      <c r="B31" s="164" t="s">
        <v>136</v>
      </c>
      <c r="D31" s="162">
        <f>D$26*'Value of Statistical Life'!D21*Appropriate_Crash_Reduction_Factor</f>
        <v>0</v>
      </c>
      <c r="E31" s="162">
        <f>E$26*'Value of Statistical Life'!E21*Appropriate_Crash_Reduction_Factor</f>
        <v>6.7241391965858098E-3</v>
      </c>
      <c r="F31" s="162">
        <f>F$26*'Value of Statistical Life'!F21*Appropriate_Crash_Reduction_Factor</f>
        <v>2.556649903591193E-3</v>
      </c>
      <c r="G31" s="162">
        <f>G$26*'Value of Statistical Life'!G21*Appropriate_Crash_Reduction_Factor</f>
        <v>1.2737728939446276E-3</v>
      </c>
      <c r="H31" s="162">
        <f>H$26*'Value of Statistical Life'!H21*Appropriate_Crash_Reduction_Factor</f>
        <v>0</v>
      </c>
      <c r="I31" s="162">
        <f>I$26*'Value of Statistical Life'!I21*Appropriate_Crash_Reduction_Factor</f>
        <v>1.3877885547059524E-3</v>
      </c>
      <c r="J31" s="162">
        <f t="shared" si="9"/>
        <v>1.1942350548827583E-2</v>
      </c>
      <c r="K31" s="163"/>
      <c r="L31" s="135"/>
      <c r="M31" s="143">
        <f t="shared" si="1"/>
        <v>2045</v>
      </c>
      <c r="N31" s="144">
        <f t="shared" si="6"/>
        <v>14943.72941176472</v>
      </c>
      <c r="O31" s="145">
        <f t="shared" si="7"/>
        <v>3.6088805246292877E-2</v>
      </c>
      <c r="P31" s="146">
        <f t="shared" si="8"/>
        <v>0.7506927854753952</v>
      </c>
      <c r="Q31" s="147">
        <f t="shared" si="4"/>
        <v>1</v>
      </c>
      <c r="R31" s="37">
        <f>IF(M31=Year_Open_to_Traffic?,Calculations!$J$5,Calculations!R30+(Calculations!R30*Calculations!O31*Q31))</f>
        <v>2280873.3296243278</v>
      </c>
      <c r="S31" s="54">
        <f t="shared" si="0"/>
        <v>0</v>
      </c>
      <c r="T31" s="37">
        <f t="shared" si="5"/>
        <v>0</v>
      </c>
      <c r="U31" s="141">
        <f>T31/(1+Real_Discount_Rate)^(Calculations!M31-'Assumed Values'!$C$5)</f>
        <v>0</v>
      </c>
    </row>
    <row r="32" spans="1:21" ht="15.75">
      <c r="A32" s="160" t="s">
        <v>137</v>
      </c>
      <c r="B32" s="164" t="s">
        <v>138</v>
      </c>
      <c r="D32" s="162">
        <f>D$26*'Value of Statistical Life'!D22*Appropriate_Crash_Reduction_Factor</f>
        <v>0</v>
      </c>
      <c r="E32" s="162">
        <f>E$26*'Value of Statistical Life'!E22*Appropriate_Crash_Reduction_Factor</f>
        <v>3.0078123902439785E-3</v>
      </c>
      <c r="F32" s="162">
        <f>F$26*'Value of Statistical Life'!F22*Appropriate_Crash_Reduction_Factor</f>
        <v>4.1648651655275888E-4</v>
      </c>
      <c r="G32" s="162">
        <f>G$26*'Value of Statistical Life'!G22*Appropriate_Crash_Reduction_Factor</f>
        <v>1.1661301141746588E-4</v>
      </c>
      <c r="H32" s="162">
        <f>H$26*'Value of Statistical Life'!H22*Appropriate_Crash_Reduction_Factor</f>
        <v>2.0018343819907576E-4</v>
      </c>
      <c r="I32" s="162">
        <f>I$26*'Value of Statistical Life'!I22*Appropriate_Crash_Reduction_Factor</f>
        <v>6.275413399723837E-4</v>
      </c>
      <c r="J32" s="162">
        <f t="shared" si="9"/>
        <v>4.3686366963856631E-3</v>
      </c>
      <c r="K32" s="163"/>
      <c r="L32" s="135"/>
      <c r="M32" s="143">
        <f t="shared" si="1"/>
        <v>2046</v>
      </c>
      <c r="N32" s="144">
        <f t="shared" si="6"/>
        <v>15483.030752159195</v>
      </c>
      <c r="O32" s="145">
        <f t="shared" si="7"/>
        <v>3.6088805246292877E-2</v>
      </c>
      <c r="P32" s="146">
        <f t="shared" si="8"/>
        <v>0.77778439121021381</v>
      </c>
      <c r="Q32" s="147">
        <f t="shared" si="4"/>
        <v>1</v>
      </c>
      <c r="R32" s="37">
        <f>IF(M32=Year_Open_to_Traffic?,Calculations!$J$5,Calculations!R31+(Calculations!R31*Calculations!O32*Q32))</f>
        <v>2363187.3230086039</v>
      </c>
      <c r="S32" s="54">
        <f t="shared" si="0"/>
        <v>0</v>
      </c>
      <c r="T32" s="37">
        <f t="shared" si="5"/>
        <v>0</v>
      </c>
      <c r="U32" s="141">
        <f>T32/(1+Real_Discount_Rate)^(Calculations!M32-'Assumed Values'!$C$5)</f>
        <v>0</v>
      </c>
    </row>
    <row r="33" spans="1:21" ht="15.75">
      <c r="A33" s="160" t="s">
        <v>139</v>
      </c>
      <c r="B33" s="164" t="s">
        <v>140</v>
      </c>
      <c r="D33" s="162">
        <f>D$26*'Value of Statistical Life'!D23*Appropriate_Crash_Reduction_Factor</f>
        <v>9.1041157019376359E-2</v>
      </c>
      <c r="E33" s="162">
        <f>E$26*'Value of Statistical Life'!E23*Appropriate_Crash_Reduction_Factor</f>
        <v>0</v>
      </c>
      <c r="F33" s="162">
        <f>F$26*'Value of Statistical Life'!F23*Appropriate_Crash_Reduction_Factor</f>
        <v>0</v>
      </c>
      <c r="G33" s="162">
        <f>G$26*'Value of Statistical Life'!G23*Appropriate_Crash_Reduction_Factor</f>
        <v>0</v>
      </c>
      <c r="H33" s="162">
        <f>H$26*'Value of Statistical Life'!H23*Appropriate_Crash_Reduction_Factor</f>
        <v>0</v>
      </c>
      <c r="I33" s="162">
        <f>I$26*'Value of Statistical Life'!I23*Appropriate_Crash_Reduction_Factor</f>
        <v>0</v>
      </c>
      <c r="J33" s="162">
        <f t="shared" si="9"/>
        <v>9.1041157019376359E-2</v>
      </c>
      <c r="K33" s="163"/>
      <c r="L33" s="135"/>
      <c r="M33" s="143">
        <f t="shared" si="1"/>
        <v>2047</v>
      </c>
      <c r="N33" s="144">
        <f t="shared" si="6"/>
        <v>16041.794833596232</v>
      </c>
      <c r="O33" s="145">
        <f t="shared" si="7"/>
        <v>3.6088805246292877E-2</v>
      </c>
      <c r="P33" s="146">
        <f t="shared" si="8"/>
        <v>0.80585370062820572</v>
      </c>
      <c r="Q33" s="147">
        <f t="shared" si="4"/>
        <v>1</v>
      </c>
      <c r="R33" s="37">
        <f>IF(M33=Year_Open_to_Traffic?,Calculations!$J$5,Calculations!R32+(Calculations!R32*Calculations!O33*Q33))</f>
        <v>2448471.9300691695</v>
      </c>
      <c r="S33" s="54">
        <f t="shared" si="0"/>
        <v>0</v>
      </c>
      <c r="T33" s="37">
        <f t="shared" si="5"/>
        <v>0</v>
      </c>
      <c r="U33" s="141">
        <f>T33/(1+Real_Discount_Rate)^(Calculations!M33-'Assumed Values'!$C$5)</f>
        <v>0</v>
      </c>
    </row>
    <row r="34" spans="1:21" ht="15.75">
      <c r="J34" s="165"/>
      <c r="L34" s="135"/>
      <c r="M34" s="143">
        <f t="shared" si="1"/>
        <v>2048</v>
      </c>
      <c r="N34" s="144">
        <f t="shared" si="6"/>
        <v>16620.724043146874</v>
      </c>
      <c r="O34" s="145">
        <f t="shared" si="7"/>
        <v>3.6088805246292877E-2</v>
      </c>
      <c r="P34" s="146">
        <f t="shared" si="8"/>
        <v>0.83493599788718142</v>
      </c>
      <c r="Q34" s="147">
        <f t="shared" si="4"/>
        <v>1</v>
      </c>
      <c r="R34" s="37">
        <f>IF(M34=Year_Open_to_Traffic?,Calculations!$J$5,Calculations!R33+(Calculations!R33*Calculations!O34*Q34))</f>
        <v>2536834.3567044507</v>
      </c>
      <c r="S34" s="54">
        <f t="shared" si="0"/>
        <v>0</v>
      </c>
      <c r="T34" s="37">
        <f t="shared" si="5"/>
        <v>0</v>
      </c>
      <c r="U34" s="141">
        <f>T34/(1+Real_Discount_Rate)^(Calculations!M34-'Assumed Values'!$C$5)</f>
        <v>0</v>
      </c>
    </row>
    <row r="35" spans="1:21" ht="15.75">
      <c r="G35" s="166"/>
      <c r="H35" s="166"/>
      <c r="L35" s="135"/>
      <c r="M35" s="143">
        <f t="shared" si="1"/>
        <v>2049</v>
      </c>
      <c r="N35" s="144">
        <f t="shared" si="6"/>
        <v>17220.546116192381</v>
      </c>
      <c r="O35" s="145">
        <f t="shared" si="7"/>
        <v>3.6088805246292877E-2</v>
      </c>
      <c r="P35" s="146">
        <f t="shared" si="8"/>
        <v>0.86506784050805108</v>
      </c>
      <c r="Q35" s="147">
        <f t="shared" si="4"/>
        <v>1</v>
      </c>
      <c r="R35" s="37">
        <f>IF(M35=Year_Open_to_Traffic?,Calculations!$J$5,Calculations!R34+(Calculations!R34*Calculations!O35*Q35))</f>
        <v>2628385.6777456622</v>
      </c>
      <c r="S35" s="54">
        <f t="shared" si="0"/>
        <v>0</v>
      </c>
      <c r="T35" s="37">
        <f t="shared" si="5"/>
        <v>0</v>
      </c>
      <c r="U35" s="141">
        <f>T35/(1+Real_Discount_Rate)^(Calculations!M35-'Assumed Values'!$C$5)</f>
        <v>0</v>
      </c>
    </row>
    <row r="36" spans="1:21" ht="15.75">
      <c r="G36" s="166"/>
      <c r="H36" s="166"/>
      <c r="L36" s="135"/>
      <c r="M36" s="143">
        <f t="shared" si="1"/>
        <v>2050</v>
      </c>
      <c r="N36" s="144">
        <f t="shared" si="6"/>
        <v>17842.015051214454</v>
      </c>
      <c r="O36" s="145">
        <f t="shared" si="7"/>
        <v>3.6088805246292877E-2</v>
      </c>
      <c r="P36" s="146">
        <f t="shared" si="8"/>
        <v>0.89628710532897726</v>
      </c>
      <c r="Q36" s="147">
        <f t="shared" si="4"/>
        <v>1</v>
      </c>
      <c r="R36" s="37">
        <f>IF(M36=Year_Open_to_Traffic?,Calculations!$J$5,Calculations!R35+(Calculations!R35*Calculations!O36*Q36))</f>
        <v>2723240.9765819707</v>
      </c>
      <c r="S36" s="54">
        <f t="shared" si="0"/>
        <v>0</v>
      </c>
      <c r="T36" s="37">
        <f t="shared" si="5"/>
        <v>0</v>
      </c>
      <c r="U36" s="141">
        <f>T36/(1+Real_Discount_Rate)^(Calculations!M36-'Assumed Values'!$C$5)</f>
        <v>0</v>
      </c>
    </row>
    <row r="37" spans="1:21">
      <c r="M37" s="164"/>
      <c r="N37" s="164"/>
      <c r="O37" s="167"/>
      <c r="P37" s="168"/>
      <c r="Q37" s="169"/>
      <c r="R37" s="164"/>
      <c r="S37" s="164"/>
      <c r="T37" s="164"/>
      <c r="U37" s="141">
        <f>SUM(U4:U36)</f>
        <v>6575.8857234136358</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1"/>
    <pageSetUpPr fitToPage="1"/>
  </sheetPr>
  <dimension ref="B2:D49"/>
  <sheetViews>
    <sheetView zoomScaleNormal="100" workbookViewId="0" xr3:uid="{78B4E459-6924-5F8B-B7BA-2DD04133E49E}">
      <selection activeCell="B52" sqref="B52"/>
    </sheetView>
  </sheetViews>
  <sheetFormatPr defaultRowHeight="15"/>
  <cols>
    <col min="1" max="1" width="3.42578125" customWidth="1"/>
    <col min="2" max="2" width="62.42578125" bestFit="1" customWidth="1"/>
    <col min="3" max="3" width="22.7109375" bestFit="1" customWidth="1"/>
    <col min="4" max="4" width="20" bestFit="1" customWidth="1"/>
  </cols>
  <sheetData>
    <row r="2" spans="2:3">
      <c r="B2" s="1" t="s">
        <v>141</v>
      </c>
    </row>
    <row r="4" spans="2:3">
      <c r="B4" s="1" t="s">
        <v>142</v>
      </c>
    </row>
    <row r="5" spans="2:3">
      <c r="B5" s="29" t="s">
        <v>143</v>
      </c>
      <c r="C5" s="61">
        <v>2018</v>
      </c>
    </row>
    <row r="6" spans="2:3">
      <c r="B6" s="29" t="s">
        <v>144</v>
      </c>
      <c r="C6" s="45">
        <v>7.0000000000000007E-2</v>
      </c>
    </row>
    <row r="7" spans="2:3">
      <c r="B7" s="89"/>
      <c r="C7" s="90"/>
    </row>
    <row r="8" spans="2:3">
      <c r="B8" s="89"/>
      <c r="C8" s="91"/>
    </row>
    <row r="9" spans="2:3">
      <c r="B9" s="26"/>
      <c r="C9" s="27"/>
    </row>
    <row r="10" spans="2:3">
      <c r="B10" s="28" t="s">
        <v>145</v>
      </c>
      <c r="C10" s="27"/>
    </row>
    <row r="11" spans="2:3">
      <c r="B11" s="29" t="s">
        <v>146</v>
      </c>
      <c r="C11" s="62">
        <f>'Value of Statistical Life'!E11</f>
        <v>9600000</v>
      </c>
    </row>
    <row r="12" spans="2:3">
      <c r="B12" s="185" t="s">
        <v>147</v>
      </c>
      <c r="C12" s="186"/>
    </row>
    <row r="14" spans="2:3" hidden="1">
      <c r="B14" s="28" t="s">
        <v>148</v>
      </c>
      <c r="C14" s="27"/>
    </row>
    <row r="15" spans="2:3" hidden="1">
      <c r="B15" s="29" t="s">
        <v>149</v>
      </c>
      <c r="C15" s="31" t="e">
        <f>#REF!</f>
        <v>#REF!</v>
      </c>
    </row>
    <row r="16" spans="2:3" hidden="1">
      <c r="B16" s="50" t="s">
        <v>150</v>
      </c>
      <c r="C16" s="51">
        <v>1.2E-2</v>
      </c>
    </row>
    <row r="17" spans="2:3" hidden="1"/>
    <row r="18" spans="2:3" hidden="1">
      <c r="B18" s="28" t="s">
        <v>151</v>
      </c>
    </row>
    <row r="19" spans="2:3" hidden="1">
      <c r="B19" s="29" t="s">
        <v>152</v>
      </c>
      <c r="C19" s="60" t="e">
        <f>#REF!</f>
        <v>#REF!</v>
      </c>
    </row>
    <row r="20" spans="2:3" hidden="1">
      <c r="B20" s="29" t="s">
        <v>153</v>
      </c>
      <c r="C20" s="60" t="e">
        <f>#REF!</f>
        <v>#REF!</v>
      </c>
    </row>
    <row r="21" spans="2:3" hidden="1">
      <c r="B21" s="29" t="s">
        <v>154</v>
      </c>
      <c r="C21" s="30">
        <f>(0.267383+0.37942)/2</f>
        <v>0.32340150000000001</v>
      </c>
    </row>
    <row r="22" spans="2:3" hidden="1">
      <c r="B22" s="29" t="s">
        <v>155</v>
      </c>
      <c r="C22" s="30">
        <f>(0.183428+0.198698)/2</f>
        <v>0.19106300000000001</v>
      </c>
    </row>
    <row r="23" spans="2:3" ht="75" hidden="1">
      <c r="B23" s="29" t="s">
        <v>156</v>
      </c>
      <c r="C23" s="58" t="s">
        <v>157</v>
      </c>
    </row>
    <row r="24" spans="2:3" hidden="1"/>
    <row r="25" spans="2:3" hidden="1"/>
    <row r="26" spans="2:3" hidden="1"/>
    <row r="27" spans="2:3" hidden="1"/>
    <row r="28" spans="2:3" hidden="1"/>
    <row r="29" spans="2:3" hidden="1"/>
    <row r="30" spans="2:3" hidden="1"/>
    <row r="31" spans="2:3" hidden="1"/>
    <row r="49" spans="4:4">
      <c r="D49" s="107"/>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1" tint="4.9989318521683403E-2"/>
  </sheetPr>
  <dimension ref="C1:Y38"/>
  <sheetViews>
    <sheetView topLeftCell="D1" workbookViewId="0" xr3:uid="{9B253EF2-77E0-53E3-AE26-4D66ECD923F3}">
      <selection activeCell="L44" sqref="L44"/>
    </sheetView>
  </sheetViews>
  <sheetFormatPr defaultRowHeight="1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5">
      <c r="C1" t="s">
        <v>158</v>
      </c>
      <c r="M1" s="71"/>
      <c r="N1" s="26"/>
      <c r="O1" s="71"/>
      <c r="P1" s="71"/>
      <c r="Q1" s="26"/>
      <c r="R1" s="26"/>
      <c r="S1" s="26"/>
      <c r="T1" s="26"/>
      <c r="U1" s="26"/>
      <c r="V1" s="26"/>
      <c r="W1" s="26"/>
      <c r="X1" s="26"/>
      <c r="Y1" s="26"/>
    </row>
    <row r="2" spans="3:25">
      <c r="C2" t="s">
        <v>49</v>
      </c>
      <c r="D2" t="s">
        <v>52</v>
      </c>
      <c r="G2" s="47" t="s">
        <v>159</v>
      </c>
      <c r="H2" s="172" t="s">
        <v>160</v>
      </c>
      <c r="M2" s="71"/>
      <c r="N2" s="71"/>
      <c r="O2" s="71"/>
      <c r="P2" s="71"/>
      <c r="Q2" s="104"/>
      <c r="R2" s="105"/>
      <c r="S2" s="105"/>
      <c r="T2" s="105"/>
      <c r="U2" s="105"/>
      <c r="V2" s="105"/>
      <c r="W2" s="105"/>
      <c r="X2" s="105"/>
      <c r="Y2" s="26"/>
    </row>
    <row r="3" spans="3:25">
      <c r="C3" t="s">
        <v>161</v>
      </c>
      <c r="D3" t="s">
        <v>162</v>
      </c>
      <c r="G3" s="47" t="s">
        <v>163</v>
      </c>
      <c r="H3" s="172" t="s">
        <v>164</v>
      </c>
      <c r="M3" s="71"/>
      <c r="N3" s="71"/>
      <c r="O3" s="71"/>
      <c r="P3" s="71"/>
      <c r="Q3" s="104"/>
      <c r="R3" s="105"/>
      <c r="S3" s="105"/>
      <c r="T3" s="105"/>
      <c r="U3" s="105"/>
      <c r="V3" s="105"/>
      <c r="W3" s="105"/>
      <c r="X3" s="105"/>
      <c r="Y3" s="26"/>
    </row>
    <row r="4" spans="3:25">
      <c r="C4" t="s">
        <v>165</v>
      </c>
      <c r="D4" t="s">
        <v>53</v>
      </c>
      <c r="G4" s="47" t="s">
        <v>166</v>
      </c>
      <c r="H4" s="172" t="s">
        <v>167</v>
      </c>
      <c r="M4" s="71"/>
      <c r="N4" s="71"/>
      <c r="O4" s="71"/>
      <c r="P4" s="71"/>
      <c r="Q4" s="104"/>
      <c r="R4" s="105"/>
      <c r="S4" s="105"/>
      <c r="T4" s="105"/>
      <c r="U4" s="105"/>
      <c r="V4" s="105"/>
      <c r="W4" s="105"/>
      <c r="X4" s="105"/>
      <c r="Y4" s="26"/>
    </row>
    <row r="5" spans="3:25">
      <c r="C5" t="s">
        <v>168</v>
      </c>
      <c r="G5" s="47" t="s">
        <v>169</v>
      </c>
      <c r="H5" s="172" t="s">
        <v>170</v>
      </c>
      <c r="M5" s="71"/>
      <c r="N5" s="71"/>
      <c r="O5" s="71"/>
      <c r="P5" s="71"/>
      <c r="Q5" s="104"/>
      <c r="R5" s="105"/>
      <c r="S5" s="105"/>
      <c r="T5" s="105"/>
      <c r="U5" s="105"/>
      <c r="V5" s="105"/>
      <c r="W5" s="105"/>
      <c r="X5" s="105"/>
      <c r="Y5" s="26"/>
    </row>
    <row r="6" spans="3:25">
      <c r="C6" t="s">
        <v>171</v>
      </c>
      <c r="G6" s="47" t="s">
        <v>172</v>
      </c>
      <c r="H6" s="172" t="s">
        <v>173</v>
      </c>
      <c r="M6" s="71"/>
      <c r="N6" s="71"/>
      <c r="O6" s="71"/>
      <c r="P6" s="71"/>
      <c r="Q6" s="104"/>
      <c r="R6" s="105"/>
      <c r="S6" s="105"/>
      <c r="T6" s="105"/>
      <c r="U6" s="105"/>
      <c r="V6" s="105"/>
      <c r="W6" s="105"/>
      <c r="X6" s="105"/>
      <c r="Y6" s="26"/>
    </row>
    <row r="7" spans="3:25">
      <c r="C7" t="s">
        <v>174</v>
      </c>
      <c r="G7" s="47" t="s">
        <v>175</v>
      </c>
      <c r="H7" s="172" t="s">
        <v>176</v>
      </c>
      <c r="M7" s="71"/>
      <c r="N7" s="71"/>
      <c r="O7" s="71"/>
      <c r="P7" s="71"/>
      <c r="Q7" s="104"/>
      <c r="R7" s="105"/>
      <c r="S7" s="105"/>
      <c r="T7" s="105"/>
      <c r="U7" s="105"/>
      <c r="V7" s="105"/>
      <c r="W7" s="105"/>
      <c r="X7" s="105"/>
      <c r="Y7" s="26"/>
    </row>
    <row r="8" spans="3:25">
      <c r="C8" t="s">
        <v>50</v>
      </c>
      <c r="M8" s="71"/>
      <c r="N8" s="71"/>
      <c r="O8" s="71"/>
      <c r="P8" s="71"/>
      <c r="Q8" s="104"/>
      <c r="R8" s="105"/>
      <c r="S8" s="105"/>
      <c r="T8" s="105"/>
      <c r="U8" s="105"/>
      <c r="V8" s="105"/>
      <c r="W8" s="105"/>
      <c r="X8" s="105"/>
      <c r="Y8" s="26"/>
    </row>
    <row r="9" spans="3:25">
      <c r="C9" t="s">
        <v>177</v>
      </c>
      <c r="M9" s="71"/>
      <c r="N9" s="71"/>
      <c r="O9" s="71"/>
      <c r="P9" s="71"/>
      <c r="Q9" s="104"/>
      <c r="R9" s="105"/>
      <c r="S9" s="105"/>
      <c r="T9" s="105"/>
      <c r="U9" s="105"/>
      <c r="V9" s="105"/>
      <c r="W9" s="105"/>
      <c r="X9" s="105"/>
      <c r="Y9" s="26"/>
    </row>
    <row r="10" spans="3:25">
      <c r="C10" t="s">
        <v>178</v>
      </c>
      <c r="M10" s="93"/>
      <c r="N10" s="103"/>
      <c r="O10" s="103"/>
      <c r="P10" s="103"/>
      <c r="Q10" s="103"/>
      <c r="R10" s="103"/>
      <c r="S10" s="103"/>
      <c r="T10" s="103"/>
      <c r="U10" s="93"/>
    </row>
    <row r="12" spans="3:25">
      <c r="C12" t="s">
        <v>179</v>
      </c>
      <c r="Q12" t="s">
        <v>180</v>
      </c>
      <c r="S12" s="187"/>
      <c r="T12" s="187"/>
      <c r="U12" s="187"/>
      <c r="V12" s="187"/>
      <c r="W12" s="187"/>
      <c r="X12" s="187"/>
    </row>
    <row r="13" spans="3:25">
      <c r="C13" s="65" t="s">
        <v>49</v>
      </c>
      <c r="D13" s="65" t="s">
        <v>181</v>
      </c>
      <c r="E13" s="65" t="s">
        <v>159</v>
      </c>
      <c r="F13" s="65" t="s">
        <v>163</v>
      </c>
      <c r="G13" s="65" t="s">
        <v>166</v>
      </c>
      <c r="H13" s="65" t="s">
        <v>169</v>
      </c>
      <c r="I13" s="65" t="s">
        <v>172</v>
      </c>
      <c r="J13" s="65" t="s">
        <v>175</v>
      </c>
      <c r="M13" s="47" t="s">
        <v>182</v>
      </c>
      <c r="N13" s="47" t="s">
        <v>183</v>
      </c>
      <c r="O13" s="47" t="s">
        <v>184</v>
      </c>
      <c r="Q13" s="74" t="s">
        <v>49</v>
      </c>
      <c r="R13" s="74" t="s">
        <v>185</v>
      </c>
      <c r="S13" s="74" t="s">
        <v>159</v>
      </c>
      <c r="T13" s="74" t="s">
        <v>163</v>
      </c>
      <c r="U13" s="74" t="s">
        <v>166</v>
      </c>
      <c r="V13" s="74" t="s">
        <v>169</v>
      </c>
      <c r="W13" s="74" t="s">
        <v>172</v>
      </c>
      <c r="X13" s="74" t="s">
        <v>175</v>
      </c>
    </row>
    <row r="14" spans="3:25">
      <c r="C14" s="66" t="s">
        <v>161</v>
      </c>
      <c r="D14" s="72"/>
      <c r="E14" s="72">
        <v>0.58757489087439407</v>
      </c>
      <c r="F14" s="72">
        <v>1.7627246726231824</v>
      </c>
      <c r="G14" s="72">
        <v>8.5198359176787157</v>
      </c>
      <c r="H14" s="72">
        <v>10.870135481176293</v>
      </c>
      <c r="I14" s="72">
        <v>172.45323047163467</v>
      </c>
      <c r="J14" s="72">
        <v>6.1695363541811377</v>
      </c>
      <c r="M14" s="47" t="s">
        <v>161</v>
      </c>
      <c r="N14" s="102">
        <v>2618324.17</v>
      </c>
      <c r="O14" s="102">
        <f>N14*260</f>
        <v>680764284.19999993</v>
      </c>
      <c r="Q14" s="75" t="s">
        <v>161</v>
      </c>
      <c r="R14" s="76"/>
      <c r="S14" s="47">
        <v>4</v>
      </c>
      <c r="T14" s="47">
        <v>12</v>
      </c>
      <c r="U14" s="47">
        <v>58</v>
      </c>
      <c r="V14" s="47">
        <v>74</v>
      </c>
      <c r="W14" s="47">
        <v>1174</v>
      </c>
      <c r="X14" s="47">
        <v>42</v>
      </c>
    </row>
    <row r="15" spans="3:25">
      <c r="C15" s="66" t="s">
        <v>165</v>
      </c>
      <c r="D15" s="72"/>
      <c r="E15" s="72">
        <v>0</v>
      </c>
      <c r="F15" s="72">
        <v>0.71587584389076675</v>
      </c>
      <c r="G15" s="72">
        <v>4.7247805696790603</v>
      </c>
      <c r="H15" s="72">
        <v>3.8657295570101406</v>
      </c>
      <c r="I15" s="72">
        <v>59.847220549268101</v>
      </c>
      <c r="J15" s="72">
        <v>1.4317516877815335</v>
      </c>
      <c r="M15" s="47" t="s">
        <v>165</v>
      </c>
      <c r="N15" s="102">
        <v>2686327.44</v>
      </c>
      <c r="O15" s="102">
        <f t="shared" ref="O15:O21" si="0">N15*260</f>
        <v>698445134.39999998</v>
      </c>
      <c r="Q15" s="75" t="s">
        <v>165</v>
      </c>
      <c r="R15" s="76"/>
      <c r="S15" s="47">
        <v>0</v>
      </c>
      <c r="T15" s="47">
        <v>5</v>
      </c>
      <c r="U15" s="47">
        <v>33</v>
      </c>
      <c r="V15" s="47">
        <v>27</v>
      </c>
      <c r="W15" s="47">
        <v>418</v>
      </c>
      <c r="X15" s="47">
        <v>10</v>
      </c>
    </row>
    <row r="16" spans="3:25">
      <c r="C16" s="66" t="s">
        <v>168</v>
      </c>
      <c r="D16" s="72"/>
      <c r="E16" s="72">
        <v>1.1315255007738096</v>
      </c>
      <c r="F16" s="72">
        <v>3.9089062754004331</v>
      </c>
      <c r="G16" s="72">
        <v>19.95599519546537</v>
      </c>
      <c r="H16" s="72">
        <v>32.197043794745674</v>
      </c>
      <c r="I16" s="72">
        <v>398.29697627238102</v>
      </c>
      <c r="J16" s="72">
        <v>12.549646463127708</v>
      </c>
      <c r="M16" s="47" t="s">
        <v>168</v>
      </c>
      <c r="N16" s="102">
        <v>3738995.92</v>
      </c>
      <c r="O16" s="102">
        <f t="shared" si="0"/>
        <v>972138939.19999993</v>
      </c>
      <c r="Q16" s="75" t="s">
        <v>168</v>
      </c>
      <c r="R16" s="76"/>
      <c r="S16" s="47">
        <v>11</v>
      </c>
      <c r="T16" s="47">
        <v>38</v>
      </c>
      <c r="U16" s="47">
        <v>194</v>
      </c>
      <c r="V16" s="47">
        <v>313</v>
      </c>
      <c r="W16" s="47">
        <v>3872</v>
      </c>
      <c r="X16" s="47">
        <v>122</v>
      </c>
    </row>
    <row r="17" spans="3:24">
      <c r="C17" s="66" t="s">
        <v>171</v>
      </c>
      <c r="D17" s="72"/>
      <c r="E17" s="72">
        <v>1.0773925370741351</v>
      </c>
      <c r="F17" s="72">
        <v>7.9008786052103224</v>
      </c>
      <c r="G17" s="72">
        <v>33.937864917835249</v>
      </c>
      <c r="H17" s="72">
        <v>58.897458693386042</v>
      </c>
      <c r="I17" s="72">
        <v>622.55332100600435</v>
      </c>
      <c r="J17" s="72">
        <v>21.009154472945632</v>
      </c>
      <c r="M17" s="47" t="s">
        <v>186</v>
      </c>
      <c r="N17" s="102">
        <v>2141923.42</v>
      </c>
      <c r="O17" s="102">
        <f t="shared" si="0"/>
        <v>556900089.19999993</v>
      </c>
      <c r="Q17" s="75" t="s">
        <v>171</v>
      </c>
      <c r="R17" s="76"/>
      <c r="S17" s="47">
        <v>6</v>
      </c>
      <c r="T17" s="47">
        <v>44</v>
      </c>
      <c r="U17" s="47">
        <v>189</v>
      </c>
      <c r="V17" s="47">
        <v>328</v>
      </c>
      <c r="W17" s="47">
        <v>3467</v>
      </c>
      <c r="X17" s="47">
        <v>117</v>
      </c>
    </row>
    <row r="18" spans="3:24">
      <c r="C18" s="66" t="s">
        <v>174</v>
      </c>
      <c r="D18" s="72"/>
      <c r="E18" s="72">
        <v>0.90708688014883054</v>
      </c>
      <c r="F18" s="72">
        <v>3.6345604444319584</v>
      </c>
      <c r="G18" s="72">
        <v>19.334618979610692</v>
      </c>
      <c r="H18" s="72">
        <v>53.611319786330533</v>
      </c>
      <c r="I18" s="72">
        <v>404.81547842368047</v>
      </c>
      <c r="J18" s="72">
        <v>37.824280317438905</v>
      </c>
      <c r="M18" s="47" t="s">
        <v>174</v>
      </c>
      <c r="N18" s="102">
        <v>61905697.659999996</v>
      </c>
      <c r="O18" s="102">
        <f t="shared" si="0"/>
        <v>16095481391.599998</v>
      </c>
      <c r="Q18" s="75" t="s">
        <v>174</v>
      </c>
      <c r="R18" s="76"/>
      <c r="S18" s="47">
        <v>146</v>
      </c>
      <c r="T18" s="47">
        <v>585</v>
      </c>
      <c r="U18" s="47">
        <v>3112</v>
      </c>
      <c r="V18" s="47">
        <v>8629</v>
      </c>
      <c r="W18" s="47">
        <v>65157</v>
      </c>
      <c r="X18" s="47">
        <v>6088</v>
      </c>
    </row>
    <row r="19" spans="3:24">
      <c r="C19" s="66" t="s">
        <v>50</v>
      </c>
      <c r="D19" s="72"/>
      <c r="E19" s="72">
        <v>3.3935222811020584</v>
      </c>
      <c r="F19" s="72">
        <v>4.2419028513775725</v>
      </c>
      <c r="G19" s="72">
        <v>9.3321862730306595</v>
      </c>
      <c r="H19" s="72">
        <v>22.057894827163377</v>
      </c>
      <c r="I19" s="72">
        <v>135.74089124408232</v>
      </c>
      <c r="J19" s="72">
        <v>3.3935222811020584</v>
      </c>
      <c r="M19" s="47" t="s">
        <v>50</v>
      </c>
      <c r="N19" s="102">
        <v>453352.42</v>
      </c>
      <c r="O19" s="102">
        <f t="shared" si="0"/>
        <v>117871629.2</v>
      </c>
      <c r="Q19" s="75" t="s">
        <v>50</v>
      </c>
      <c r="R19" s="76"/>
      <c r="S19" s="47">
        <v>4</v>
      </c>
      <c r="T19" s="47">
        <v>5</v>
      </c>
      <c r="U19" s="47">
        <v>11</v>
      </c>
      <c r="V19" s="47">
        <v>26</v>
      </c>
      <c r="W19" s="47">
        <v>160</v>
      </c>
      <c r="X19" s="47">
        <v>4</v>
      </c>
    </row>
    <row r="20" spans="3:24">
      <c r="C20" s="66" t="s">
        <v>177</v>
      </c>
      <c r="D20" s="72"/>
      <c r="E20" s="72">
        <v>0.40874620684819268</v>
      </c>
      <c r="F20" s="72">
        <v>2.3356926105611011</v>
      </c>
      <c r="G20" s="72">
        <v>15.532355860231322</v>
      </c>
      <c r="H20" s="72">
        <v>25.692618716172113</v>
      </c>
      <c r="I20" s="72">
        <v>267.43680390924607</v>
      </c>
      <c r="J20" s="72">
        <v>10.452224432260929</v>
      </c>
      <c r="M20" s="47" t="s">
        <v>177</v>
      </c>
      <c r="N20" s="102">
        <v>6586746.6100000003</v>
      </c>
      <c r="O20" s="102">
        <f t="shared" si="0"/>
        <v>1712554118.6000001</v>
      </c>
      <c r="Q20" s="75" t="s">
        <v>177</v>
      </c>
      <c r="R20" s="76"/>
      <c r="S20" s="47">
        <v>7</v>
      </c>
      <c r="T20" s="47">
        <v>40</v>
      </c>
      <c r="U20" s="47">
        <v>266</v>
      </c>
      <c r="V20" s="47">
        <v>440</v>
      </c>
      <c r="W20" s="47">
        <v>4580</v>
      </c>
      <c r="X20" s="47">
        <v>179</v>
      </c>
    </row>
    <row r="21" spans="3:24">
      <c r="C21" s="66" t="s">
        <v>178</v>
      </c>
      <c r="D21" s="72"/>
      <c r="E21" s="72">
        <v>1.4164379058069814</v>
      </c>
      <c r="F21" s="72">
        <v>1.4164379058069814</v>
      </c>
      <c r="G21" s="72">
        <v>3.1869852880657077</v>
      </c>
      <c r="H21" s="72">
        <v>3.1869852880657077</v>
      </c>
      <c r="I21" s="72">
        <v>16.643145393232032</v>
      </c>
      <c r="J21" s="72">
        <v>0</v>
      </c>
      <c r="M21" s="47" t="s">
        <v>178</v>
      </c>
      <c r="N21" s="102">
        <v>1086148.24</v>
      </c>
      <c r="O21" s="102">
        <f t="shared" si="0"/>
        <v>282398542.39999998</v>
      </c>
      <c r="Q21" s="75" t="s">
        <v>178</v>
      </c>
      <c r="R21" s="76"/>
      <c r="S21" s="47">
        <v>4</v>
      </c>
      <c r="T21" s="47">
        <v>4</v>
      </c>
      <c r="U21" s="47">
        <v>9</v>
      </c>
      <c r="V21" s="47">
        <v>9</v>
      </c>
      <c r="W21" s="47">
        <v>47</v>
      </c>
      <c r="X21" s="47">
        <v>0</v>
      </c>
    </row>
    <row r="22" spans="3:24">
      <c r="C22" s="71"/>
      <c r="D22" s="101"/>
      <c r="E22" s="101"/>
      <c r="F22" s="101"/>
      <c r="G22" s="101"/>
      <c r="H22" s="101"/>
      <c r="I22" s="101"/>
      <c r="J22" s="101"/>
      <c r="M22" s="47"/>
      <c r="N22" s="102">
        <f>SUM(N14:N21)</f>
        <v>81217515.879999995</v>
      </c>
      <c r="O22" s="102">
        <f>SUM(O14:O21)</f>
        <v>21116554128.799999</v>
      </c>
      <c r="Q22" s="78" t="s">
        <v>187</v>
      </c>
      <c r="R22" s="77">
        <f>SUM(R14:R21)</f>
        <v>0</v>
      </c>
      <c r="S22" s="77">
        <f t="shared" ref="S22:X22" si="1">SUM(S14:S21)</f>
        <v>182</v>
      </c>
      <c r="T22" s="77">
        <f t="shared" si="1"/>
        <v>733</v>
      </c>
      <c r="U22" s="77">
        <f t="shared" si="1"/>
        <v>3872</v>
      </c>
      <c r="V22" s="77">
        <f t="shared" si="1"/>
        <v>9846</v>
      </c>
      <c r="W22" s="77">
        <f t="shared" si="1"/>
        <v>78875</v>
      </c>
      <c r="X22" s="77">
        <f t="shared" si="1"/>
        <v>6562</v>
      </c>
    </row>
    <row r="26" spans="3:24">
      <c r="C26" t="s">
        <v>188</v>
      </c>
      <c r="Q26" t="s">
        <v>189</v>
      </c>
      <c r="S26" s="187"/>
      <c r="T26" s="187"/>
      <c r="U26" s="187"/>
      <c r="V26" s="187"/>
      <c r="W26" s="187"/>
      <c r="X26" s="187"/>
    </row>
    <row r="27" spans="3:24">
      <c r="C27" s="65" t="s">
        <v>49</v>
      </c>
      <c r="D27" s="65" t="s">
        <v>181</v>
      </c>
      <c r="E27" s="65" t="s">
        <v>159</v>
      </c>
      <c r="F27" s="65" t="s">
        <v>163</v>
      </c>
      <c r="G27" s="65" t="s">
        <v>166</v>
      </c>
      <c r="H27" s="65" t="s">
        <v>169</v>
      </c>
      <c r="I27" s="65" t="s">
        <v>172</v>
      </c>
      <c r="J27" s="65" t="s">
        <v>175</v>
      </c>
      <c r="M27" s="47" t="s">
        <v>190</v>
      </c>
      <c r="N27" s="47" t="s">
        <v>183</v>
      </c>
      <c r="O27" s="47" t="s">
        <v>184</v>
      </c>
      <c r="Q27" s="74" t="s">
        <v>49</v>
      </c>
      <c r="R27" s="74" t="s">
        <v>185</v>
      </c>
      <c r="S27" s="74" t="s">
        <v>159</v>
      </c>
      <c r="T27" s="74" t="s">
        <v>163</v>
      </c>
      <c r="U27" s="74" t="s">
        <v>166</v>
      </c>
      <c r="V27" s="74" t="s">
        <v>169</v>
      </c>
      <c r="W27" s="74" t="s">
        <v>172</v>
      </c>
      <c r="X27" s="74" t="s">
        <v>175</v>
      </c>
    </row>
    <row r="28" spans="3:24">
      <c r="C28" s="67" t="s">
        <v>161</v>
      </c>
      <c r="D28" s="72"/>
      <c r="E28" s="72">
        <v>2.3625405586197226</v>
      </c>
      <c r="F28" s="72">
        <v>8.4203368627728583</v>
      </c>
      <c r="G28" s="72">
        <v>41.314170794324376</v>
      </c>
      <c r="H28" s="72">
        <v>65.121310269646187</v>
      </c>
      <c r="I28" s="72">
        <v>615.29037061283384</v>
      </c>
      <c r="J28" s="72">
        <v>20.354195581954531</v>
      </c>
      <c r="M28" s="47" t="s">
        <v>161</v>
      </c>
      <c r="N28" s="102">
        <v>6349097.3499999996</v>
      </c>
      <c r="O28" s="102">
        <f>N28*260</f>
        <v>1650765311</v>
      </c>
      <c r="Q28" s="75" t="s">
        <v>161</v>
      </c>
      <c r="R28" s="76"/>
      <c r="S28" s="47">
        <v>39</v>
      </c>
      <c r="T28" s="47">
        <v>139</v>
      </c>
      <c r="U28" s="47">
        <v>682</v>
      </c>
      <c r="V28" s="47">
        <v>1075</v>
      </c>
      <c r="W28" s="102">
        <v>10157</v>
      </c>
      <c r="X28" s="47">
        <v>336</v>
      </c>
    </row>
    <row r="29" spans="3:24">
      <c r="C29" s="67" t="s">
        <v>165</v>
      </c>
      <c r="D29" s="72"/>
      <c r="E29" s="72">
        <v>2.8832323701282432</v>
      </c>
      <c r="F29" s="72">
        <v>27.184762346923439</v>
      </c>
      <c r="G29" s="72">
        <v>68.373796205898344</v>
      </c>
      <c r="H29" s="72">
        <v>63.019221804231606</v>
      </c>
      <c r="I29" s="72">
        <v>906.57063523603767</v>
      </c>
      <c r="J29" s="72">
        <v>35.422569118718414</v>
      </c>
      <c r="M29" s="47" t="s">
        <v>165</v>
      </c>
      <c r="N29" s="102">
        <v>933781.03</v>
      </c>
      <c r="O29" s="102">
        <f t="shared" ref="O29:O35" si="2">N29*260</f>
        <v>242783067.80000001</v>
      </c>
      <c r="Q29" s="75" t="s">
        <v>165</v>
      </c>
      <c r="R29" s="76"/>
      <c r="S29" s="47">
        <v>7</v>
      </c>
      <c r="T29" s="47">
        <v>66</v>
      </c>
      <c r="U29" s="47">
        <v>166</v>
      </c>
      <c r="V29" s="47">
        <v>153</v>
      </c>
      <c r="W29" s="47">
        <v>2201</v>
      </c>
      <c r="X29" s="47">
        <v>86</v>
      </c>
    </row>
    <row r="30" spans="3:24">
      <c r="C30" s="67" t="s">
        <v>168</v>
      </c>
      <c r="D30" s="72"/>
      <c r="E30" s="72">
        <v>0.99344502357157671</v>
      </c>
      <c r="F30" s="72">
        <v>5.5495894420205314</v>
      </c>
      <c r="G30" s="72">
        <v>33.605847176679887</v>
      </c>
      <c r="H30" s="72">
        <v>63.237914259073463</v>
      </c>
      <c r="I30" s="72">
        <v>637.62042150819855</v>
      </c>
      <c r="J30" s="72">
        <v>27.199839610890752</v>
      </c>
      <c r="M30" s="47" t="s">
        <v>168</v>
      </c>
      <c r="N30" s="102">
        <v>11227441.77</v>
      </c>
      <c r="O30" s="102">
        <f t="shared" si="2"/>
        <v>2919134860.1999998</v>
      </c>
      <c r="Q30" s="75" t="s">
        <v>168</v>
      </c>
      <c r="R30" s="76"/>
      <c r="S30" s="47">
        <v>29</v>
      </c>
      <c r="T30" s="47">
        <v>162</v>
      </c>
      <c r="U30" s="47">
        <v>981</v>
      </c>
      <c r="V30" s="102">
        <v>1846</v>
      </c>
      <c r="W30" s="102">
        <v>18613</v>
      </c>
      <c r="X30" s="47">
        <v>794</v>
      </c>
    </row>
    <row r="31" spans="3:24">
      <c r="C31" s="67" t="s">
        <v>171</v>
      </c>
      <c r="D31" s="72"/>
      <c r="E31" s="72">
        <v>2.8942083274968362</v>
      </c>
      <c r="F31" s="72">
        <v>14.04542276579347</v>
      </c>
      <c r="G31" s="72">
        <v>51.329635925899773</v>
      </c>
      <c r="H31" s="72">
        <v>102.91464317481397</v>
      </c>
      <c r="I31" s="72">
        <v>1117.0792906394406</v>
      </c>
      <c r="J31" s="72">
        <v>47.924684952374079</v>
      </c>
      <c r="M31" s="47" t="s">
        <v>186</v>
      </c>
      <c r="N31" s="102">
        <v>4518307.46</v>
      </c>
      <c r="O31" s="102">
        <f t="shared" si="2"/>
        <v>1174759939.5999999</v>
      </c>
      <c r="Q31" s="75" t="s">
        <v>171</v>
      </c>
      <c r="R31" s="76"/>
      <c r="S31" s="47">
        <v>34</v>
      </c>
      <c r="T31" s="47">
        <v>165</v>
      </c>
      <c r="U31" s="47">
        <v>603</v>
      </c>
      <c r="V31" s="102">
        <v>1209</v>
      </c>
      <c r="W31" s="102">
        <v>13123</v>
      </c>
      <c r="X31" s="47">
        <v>563</v>
      </c>
    </row>
    <row r="32" spans="3:24">
      <c r="C32" s="67" t="s">
        <v>174</v>
      </c>
      <c r="D32" s="72"/>
      <c r="E32" s="72">
        <v>1.7455741549787349</v>
      </c>
      <c r="F32" s="72">
        <v>8.8235958091989612</v>
      </c>
      <c r="G32" s="72">
        <v>49.782648723119337</v>
      </c>
      <c r="H32" s="72">
        <v>124.27924895011503</v>
      </c>
      <c r="I32" s="72">
        <v>963.65828946693784</v>
      </c>
      <c r="J32" s="72">
        <v>83.618632907852302</v>
      </c>
      <c r="M32" s="47" t="s">
        <v>174</v>
      </c>
      <c r="N32" s="102">
        <v>68304614.209999993</v>
      </c>
      <c r="O32" s="102">
        <f t="shared" si="2"/>
        <v>17759199694.599998</v>
      </c>
      <c r="Q32" s="75" t="s">
        <v>174</v>
      </c>
      <c r="R32" s="76"/>
      <c r="S32" s="47">
        <v>310</v>
      </c>
      <c r="T32" s="102">
        <v>1567</v>
      </c>
      <c r="U32" s="102">
        <v>8841</v>
      </c>
      <c r="V32" s="102">
        <v>22071</v>
      </c>
      <c r="W32" s="102">
        <v>171138</v>
      </c>
      <c r="X32" s="102">
        <v>14850</v>
      </c>
    </row>
    <row r="33" spans="3:24">
      <c r="C33" s="67" t="s">
        <v>50</v>
      </c>
      <c r="D33" s="72"/>
      <c r="E33" s="72">
        <v>5.3130646924395055</v>
      </c>
      <c r="F33" s="72">
        <v>9.8447963418732023</v>
      </c>
      <c r="G33" s="72">
        <v>24.065057724578939</v>
      </c>
      <c r="H33" s="72">
        <v>52.349313881389243</v>
      </c>
      <c r="I33" s="72">
        <v>389.41638863409548</v>
      </c>
      <c r="J33" s="72">
        <v>13.126395122497602</v>
      </c>
      <c r="M33" s="47" t="s">
        <v>50</v>
      </c>
      <c r="N33" s="102">
        <v>2461276.84</v>
      </c>
      <c r="O33" s="102">
        <f t="shared" si="2"/>
        <v>639931978.39999998</v>
      </c>
      <c r="Q33" s="75" t="s">
        <v>50</v>
      </c>
      <c r="R33" s="76"/>
      <c r="S33" s="47">
        <v>34</v>
      </c>
      <c r="T33" s="47">
        <v>63</v>
      </c>
      <c r="U33" s="47">
        <v>154</v>
      </c>
      <c r="V33" s="47">
        <v>335</v>
      </c>
      <c r="W33" s="47">
        <v>2492</v>
      </c>
      <c r="X33" s="47">
        <v>84</v>
      </c>
    </row>
    <row r="34" spans="3:24">
      <c r="C34" s="67" t="s">
        <v>177</v>
      </c>
      <c r="D34" s="72"/>
      <c r="E34" s="72">
        <v>1.6733669755541722</v>
      </c>
      <c r="F34" s="72">
        <v>10.467444485381417</v>
      </c>
      <c r="G34" s="72">
        <v>41.371328204126556</v>
      </c>
      <c r="H34" s="72">
        <v>63.089495333659421</v>
      </c>
      <c r="I34" s="72">
        <v>590.98337079199359</v>
      </c>
      <c r="J34" s="72">
        <v>22.750670157002467</v>
      </c>
      <c r="M34" s="47" t="s">
        <v>177</v>
      </c>
      <c r="N34" s="102">
        <v>10802724.890000001</v>
      </c>
      <c r="O34" s="102">
        <f t="shared" si="2"/>
        <v>2808708471.4000001</v>
      </c>
      <c r="Q34" s="75" t="s">
        <v>177</v>
      </c>
      <c r="R34" s="76"/>
      <c r="S34" s="47">
        <v>47</v>
      </c>
      <c r="T34" s="47">
        <v>294</v>
      </c>
      <c r="U34" s="102">
        <v>1162</v>
      </c>
      <c r="V34" s="102">
        <v>1772</v>
      </c>
      <c r="W34" s="102">
        <v>16599</v>
      </c>
      <c r="X34" s="47">
        <v>639</v>
      </c>
    </row>
    <row r="35" spans="3:24">
      <c r="C35" s="67" t="s">
        <v>178</v>
      </c>
      <c r="D35" s="72"/>
      <c r="E35" s="72">
        <v>7.1772175901711934</v>
      </c>
      <c r="F35" s="72">
        <v>11.124687264765349</v>
      </c>
      <c r="G35" s="72">
        <v>37.680392348398769</v>
      </c>
      <c r="H35" s="72">
        <v>58.135462480386664</v>
      </c>
      <c r="I35" s="72">
        <v>454.67673433734507</v>
      </c>
      <c r="J35" s="72">
        <v>26.555705083633416</v>
      </c>
      <c r="M35" s="47" t="s">
        <v>178</v>
      </c>
      <c r="N35" s="102">
        <v>1071767.3799999999</v>
      </c>
      <c r="O35" s="102">
        <f t="shared" si="2"/>
        <v>278659518.79999995</v>
      </c>
      <c r="Q35" s="75" t="s">
        <v>178</v>
      </c>
      <c r="R35" s="76"/>
      <c r="S35" s="47">
        <v>20</v>
      </c>
      <c r="T35" s="47">
        <v>31</v>
      </c>
      <c r="U35" s="47">
        <v>105</v>
      </c>
      <c r="V35" s="47">
        <v>162</v>
      </c>
      <c r="W35" s="47">
        <v>1267</v>
      </c>
      <c r="X35" s="47">
        <v>74</v>
      </c>
    </row>
    <row r="36" spans="3:24">
      <c r="C36" s="71"/>
      <c r="D36" s="101"/>
      <c r="E36" s="101"/>
      <c r="F36" s="101"/>
      <c r="G36" s="101"/>
      <c r="H36" s="101"/>
      <c r="I36" s="101"/>
      <c r="J36" s="101"/>
      <c r="M36" s="47"/>
      <c r="N36" s="102">
        <f>SUM(N28:N35)</f>
        <v>105669010.92999999</v>
      </c>
      <c r="O36" s="102">
        <f>SUM(O28:O35)</f>
        <v>27473942841.799999</v>
      </c>
      <c r="Q36" s="78" t="s">
        <v>187</v>
      </c>
      <c r="R36" s="77">
        <f>SUM(R28:R35)</f>
        <v>0</v>
      </c>
      <c r="S36" s="77">
        <f t="shared" ref="S36:X36" si="3">SUM(S28:S35)</f>
        <v>520</v>
      </c>
      <c r="T36" s="77">
        <f t="shared" si="3"/>
        <v>2487</v>
      </c>
      <c r="U36" s="77">
        <f t="shared" si="3"/>
        <v>12694</v>
      </c>
      <c r="V36" s="77">
        <f t="shared" si="3"/>
        <v>28623</v>
      </c>
      <c r="W36" s="77">
        <f t="shared" si="3"/>
        <v>235590</v>
      </c>
      <c r="X36" s="77">
        <f t="shared" si="3"/>
        <v>17426</v>
      </c>
    </row>
    <row r="38" spans="3:24">
      <c r="Q38" s="79" t="s">
        <v>191</v>
      </c>
      <c r="R38" s="80">
        <f>R22+R36</f>
        <v>0</v>
      </c>
      <c r="S38" s="80">
        <f t="shared" ref="S38:X38" si="4">S22+S36</f>
        <v>702</v>
      </c>
      <c r="T38" s="80">
        <f t="shared" si="4"/>
        <v>3220</v>
      </c>
      <c r="U38" s="80">
        <f t="shared" si="4"/>
        <v>16566</v>
      </c>
      <c r="V38" s="80">
        <f t="shared" si="4"/>
        <v>38469</v>
      </c>
      <c r="W38" s="80">
        <f t="shared" si="4"/>
        <v>314465</v>
      </c>
      <c r="X38" s="80">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1"/>
  </sheetPr>
  <dimension ref="B2:U41"/>
  <sheetViews>
    <sheetView zoomScale="85" zoomScaleNormal="85" workbookViewId="0" xr3:uid="{85D5C41F-068E-5C55-9968-509E7C2A5619}">
      <selection activeCell="N28" sqref="N28"/>
    </sheetView>
  </sheetViews>
  <sheetFormatPr defaultRowHeight="1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c r="B2" s="2" t="s">
        <v>192</v>
      </c>
    </row>
    <row r="3" spans="2:9">
      <c r="F3" s="71"/>
    </row>
    <row r="4" spans="2:9">
      <c r="B4" s="46" t="s">
        <v>193</v>
      </c>
      <c r="C4" s="46" t="s">
        <v>194</v>
      </c>
      <c r="D4" s="46" t="s">
        <v>195</v>
      </c>
      <c r="E4" s="46" t="s">
        <v>196</v>
      </c>
      <c r="F4" s="123"/>
    </row>
    <row r="5" spans="2:9">
      <c r="B5" s="47" t="s">
        <v>127</v>
      </c>
      <c r="C5" s="47" t="s">
        <v>128</v>
      </c>
      <c r="D5" s="48">
        <v>0</v>
      </c>
      <c r="E5" s="59">
        <v>4327</v>
      </c>
      <c r="F5" s="81"/>
      <c r="H5" s="63"/>
    </row>
    <row r="6" spans="2:9">
      <c r="B6" s="47" t="s">
        <v>129</v>
      </c>
      <c r="C6" s="47" t="s">
        <v>130</v>
      </c>
      <c r="D6" s="48">
        <v>3.0000000000000001E-3</v>
      </c>
      <c r="E6" s="59">
        <v>28800</v>
      </c>
      <c r="F6" s="81"/>
      <c r="H6" s="63"/>
    </row>
    <row r="7" spans="2:9">
      <c r="B7" s="47" t="s">
        <v>131</v>
      </c>
      <c r="C7" s="47" t="s">
        <v>132</v>
      </c>
      <c r="D7" s="48">
        <v>4.7E-2</v>
      </c>
      <c r="E7" s="59">
        <v>451200</v>
      </c>
      <c r="F7" s="81"/>
      <c r="H7" s="63"/>
    </row>
    <row r="8" spans="2:9">
      <c r="B8" s="47" t="s">
        <v>133</v>
      </c>
      <c r="C8" s="47" t="s">
        <v>134</v>
      </c>
      <c r="D8" s="48">
        <v>0.105</v>
      </c>
      <c r="E8" s="59">
        <v>1008000</v>
      </c>
      <c r="F8" s="81"/>
      <c r="H8" s="63"/>
    </row>
    <row r="9" spans="2:9">
      <c r="B9" s="47" t="s">
        <v>135</v>
      </c>
      <c r="C9" s="47" t="s">
        <v>136</v>
      </c>
      <c r="D9" s="48">
        <v>0.26600000000000001</v>
      </c>
      <c r="E9" s="59">
        <v>2553600</v>
      </c>
      <c r="F9" s="81"/>
      <c r="H9" s="63"/>
    </row>
    <row r="10" spans="2:9">
      <c r="B10" s="47" t="s">
        <v>137</v>
      </c>
      <c r="C10" s="47" t="s">
        <v>138</v>
      </c>
      <c r="D10" s="48">
        <v>0.59299999999999997</v>
      </c>
      <c r="E10" s="59">
        <v>5692800</v>
      </c>
      <c r="F10" s="81"/>
      <c r="H10" s="63"/>
    </row>
    <row r="11" spans="2:9">
      <c r="B11" s="47" t="s">
        <v>139</v>
      </c>
      <c r="C11" s="47" t="s">
        <v>197</v>
      </c>
      <c r="D11" s="48">
        <v>1</v>
      </c>
      <c r="E11" s="59">
        <v>9600000</v>
      </c>
      <c r="F11" s="81"/>
      <c r="H11" s="63"/>
    </row>
    <row r="14" spans="2:9">
      <c r="B14" s="2" t="s">
        <v>198</v>
      </c>
    </row>
    <row r="16" spans="2:9">
      <c r="B16" s="46" t="s">
        <v>193</v>
      </c>
      <c r="C16" s="55" t="s">
        <v>194</v>
      </c>
      <c r="D16" s="46" t="s">
        <v>119</v>
      </c>
      <c r="E16" s="46" t="s">
        <v>120</v>
      </c>
      <c r="F16" s="46" t="s">
        <v>121</v>
      </c>
      <c r="G16" s="46" t="s">
        <v>122</v>
      </c>
      <c r="H16" s="46" t="s">
        <v>123</v>
      </c>
      <c r="I16" s="46" t="s">
        <v>124</v>
      </c>
    </row>
    <row r="17" spans="2:9">
      <c r="B17" s="46" t="s">
        <v>127</v>
      </c>
      <c r="C17" s="55" t="s">
        <v>128</v>
      </c>
      <c r="D17" s="56">
        <v>0</v>
      </c>
      <c r="E17" s="56">
        <v>3.4369999999999998E-2</v>
      </c>
      <c r="F17" s="56">
        <v>8.3470000000000003E-2</v>
      </c>
      <c r="G17" s="56">
        <v>0.23436999999999999</v>
      </c>
      <c r="H17" s="56">
        <v>0.92534000000000005</v>
      </c>
      <c r="I17" s="56">
        <v>0.43675999999999998</v>
      </c>
    </row>
    <row r="18" spans="2:9">
      <c r="B18" s="46" t="s">
        <v>129</v>
      </c>
      <c r="C18" s="47" t="s">
        <v>130</v>
      </c>
      <c r="D18" s="56">
        <v>0</v>
      </c>
      <c r="E18" s="56">
        <v>0.55449000000000004</v>
      </c>
      <c r="F18" s="56">
        <v>0.76842999999999995</v>
      </c>
      <c r="G18" s="56">
        <v>0.68945999999999996</v>
      </c>
      <c r="H18" s="56">
        <v>7.2569999999999996E-2</v>
      </c>
      <c r="I18" s="56">
        <v>0.41738999999999998</v>
      </c>
    </row>
    <row r="19" spans="2:9">
      <c r="B19" s="46" t="s">
        <v>131</v>
      </c>
      <c r="C19" s="47" t="s">
        <v>132</v>
      </c>
      <c r="D19" s="56">
        <v>0</v>
      </c>
      <c r="E19" s="56">
        <v>0.20907999999999999</v>
      </c>
      <c r="F19" s="56">
        <v>0.10897999999999999</v>
      </c>
      <c r="G19" s="56">
        <v>6.3909999999999995E-2</v>
      </c>
      <c r="H19" s="56">
        <v>1.98E-3</v>
      </c>
      <c r="I19" s="56">
        <v>8.8719999999999993E-2</v>
      </c>
    </row>
    <row r="20" spans="2:9">
      <c r="B20" s="46" t="s">
        <v>133</v>
      </c>
      <c r="C20" s="47" t="s">
        <v>134</v>
      </c>
      <c r="D20" s="56">
        <v>0</v>
      </c>
      <c r="E20" s="56">
        <v>0.14437</v>
      </c>
      <c r="F20" s="56">
        <v>3.1910000000000001E-2</v>
      </c>
      <c r="G20" s="56">
        <v>1.0710000000000001E-2</v>
      </c>
      <c r="H20" s="56">
        <v>8.0000000000000007E-5</v>
      </c>
      <c r="I20" s="56">
        <v>4.8169999999999998E-2</v>
      </c>
    </row>
    <row r="21" spans="2:9">
      <c r="B21" s="46" t="s">
        <v>135</v>
      </c>
      <c r="C21" s="47" t="s">
        <v>136</v>
      </c>
      <c r="D21" s="56">
        <v>0</v>
      </c>
      <c r="E21" s="56">
        <v>3.986E-2</v>
      </c>
      <c r="F21" s="56">
        <v>6.1999999999999998E-3</v>
      </c>
      <c r="G21" s="56">
        <v>1.42E-3</v>
      </c>
      <c r="H21" s="56">
        <v>0</v>
      </c>
      <c r="I21" s="56">
        <v>6.1700000000000001E-3</v>
      </c>
    </row>
    <row r="22" spans="2:9">
      <c r="B22" s="46" t="s">
        <v>137</v>
      </c>
      <c r="C22" s="47" t="s">
        <v>138</v>
      </c>
      <c r="D22" s="56">
        <v>0</v>
      </c>
      <c r="E22" s="56">
        <v>1.7829999999999999E-2</v>
      </c>
      <c r="F22" s="56">
        <v>1.01E-3</v>
      </c>
      <c r="G22" s="56">
        <v>1.2999999999999999E-4</v>
      </c>
      <c r="H22" s="56">
        <v>3.0000000000000001E-5</v>
      </c>
      <c r="I22" s="56">
        <v>2.7899999999999999E-3</v>
      </c>
    </row>
    <row r="23" spans="2:9">
      <c r="B23" s="46" t="s">
        <v>139</v>
      </c>
      <c r="C23" s="47" t="s">
        <v>197</v>
      </c>
      <c r="D23" s="56">
        <v>1</v>
      </c>
      <c r="E23" s="56">
        <v>0</v>
      </c>
      <c r="F23" s="56">
        <v>0</v>
      </c>
      <c r="G23" s="56">
        <v>0</v>
      </c>
      <c r="H23" s="56">
        <v>0</v>
      </c>
      <c r="I23" s="56">
        <v>0</v>
      </c>
    </row>
    <row r="24" spans="2:9">
      <c r="B24" s="188" t="s">
        <v>199</v>
      </c>
      <c r="C24" s="188"/>
      <c r="D24" s="57">
        <f t="shared" ref="D24:I24" si="0">SUM(D17:D23)</f>
        <v>1</v>
      </c>
      <c r="E24" s="57">
        <f t="shared" si="0"/>
        <v>1</v>
      </c>
      <c r="F24" s="57">
        <f t="shared" si="0"/>
        <v>0.99999999999999989</v>
      </c>
      <c r="G24" s="57">
        <f t="shared" si="0"/>
        <v>0.99999999999999989</v>
      </c>
      <c r="H24" s="57">
        <f t="shared" si="0"/>
        <v>1</v>
      </c>
      <c r="I24" s="57">
        <f t="shared" si="0"/>
        <v>1</v>
      </c>
    </row>
    <row r="37" spans="14:21">
      <c r="U37" s="108"/>
    </row>
    <row r="40" spans="14:21">
      <c r="N40" s="63"/>
    </row>
    <row r="41" spans="14:21">
      <c r="N41" s="63"/>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sheetPr>
  <dimension ref="B1:F84"/>
  <sheetViews>
    <sheetView workbookViewId="0" xr3:uid="{44B22561-5205-5C8A-B808-2C70100D228F}">
      <selection activeCell="J8" sqref="J8"/>
    </sheetView>
  </sheetViews>
  <sheetFormatPr defaultRowHeight="15"/>
  <cols>
    <col min="3" max="3" width="55.42578125" customWidth="1"/>
    <col min="4" max="4" width="12.28515625" customWidth="1"/>
    <col min="5" max="5" width="21.5703125" bestFit="1" customWidth="1"/>
    <col min="6" max="6" width="10.85546875" bestFit="1" customWidth="1"/>
  </cols>
  <sheetData>
    <row r="1" spans="2:6">
      <c r="B1" t="s">
        <v>200</v>
      </c>
      <c r="C1" t="s">
        <v>201</v>
      </c>
    </row>
    <row r="3" spans="2:6">
      <c r="C3" s="82" t="s">
        <v>202</v>
      </c>
      <c r="D3" s="82" t="s">
        <v>203</v>
      </c>
      <c r="E3" s="82" t="s">
        <v>204</v>
      </c>
      <c r="F3" s="82" t="s">
        <v>205</v>
      </c>
    </row>
    <row r="4" spans="2:6">
      <c r="C4" s="83" t="s">
        <v>206</v>
      </c>
      <c r="D4" s="111">
        <v>101</v>
      </c>
      <c r="E4" s="112">
        <v>0.2</v>
      </c>
      <c r="F4" s="113">
        <v>6</v>
      </c>
    </row>
    <row r="5" spans="2:6">
      <c r="C5" s="84" t="s">
        <v>207</v>
      </c>
      <c r="D5" s="111">
        <v>102</v>
      </c>
      <c r="E5" s="112">
        <v>0.2</v>
      </c>
      <c r="F5" s="113">
        <v>6</v>
      </c>
    </row>
    <row r="6" spans="2:6">
      <c r="C6" s="83" t="s">
        <v>208</v>
      </c>
      <c r="D6" s="111">
        <v>105</v>
      </c>
      <c r="E6" s="114">
        <v>0.25</v>
      </c>
      <c r="F6" s="113">
        <v>10</v>
      </c>
    </row>
    <row r="7" spans="2:6">
      <c r="C7" s="83" t="s">
        <v>209</v>
      </c>
      <c r="D7" s="111">
        <v>106</v>
      </c>
      <c r="E7" s="112">
        <v>0.1</v>
      </c>
      <c r="F7" s="113">
        <v>10</v>
      </c>
    </row>
    <row r="8" spans="2:6">
      <c r="C8" s="83" t="s">
        <v>210</v>
      </c>
      <c r="D8" s="111">
        <v>107</v>
      </c>
      <c r="E8" s="112">
        <v>0.28000000000000003</v>
      </c>
      <c r="F8" s="113">
        <v>10</v>
      </c>
    </row>
    <row r="9" spans="2:6">
      <c r="C9" s="83" t="s">
        <v>211</v>
      </c>
      <c r="D9" s="111">
        <v>108</v>
      </c>
      <c r="E9" s="112">
        <v>0.22</v>
      </c>
      <c r="F9" s="113">
        <v>10</v>
      </c>
    </row>
    <row r="10" spans="2:6">
      <c r="C10" s="83" t="s">
        <v>212</v>
      </c>
      <c r="D10" s="111">
        <v>110</v>
      </c>
      <c r="E10" s="112">
        <v>0.15</v>
      </c>
      <c r="F10" s="113">
        <v>10</v>
      </c>
    </row>
    <row r="11" spans="2:6">
      <c r="C11" s="83" t="s">
        <v>213</v>
      </c>
      <c r="D11" s="111">
        <v>111</v>
      </c>
      <c r="E11" s="112">
        <v>0.1</v>
      </c>
      <c r="F11" s="113">
        <v>10</v>
      </c>
    </row>
    <row r="12" spans="2:6">
      <c r="C12" s="84" t="s">
        <v>214</v>
      </c>
      <c r="D12" s="111">
        <v>112</v>
      </c>
      <c r="E12" s="112">
        <v>0.65</v>
      </c>
      <c r="F12" s="113">
        <v>1</v>
      </c>
    </row>
    <row r="13" spans="2:6">
      <c r="C13" s="83" t="s">
        <v>215</v>
      </c>
      <c r="D13" s="111">
        <v>113</v>
      </c>
      <c r="E13" s="114">
        <v>0.3</v>
      </c>
      <c r="F13" s="113">
        <v>2</v>
      </c>
    </row>
    <row r="14" spans="2:6">
      <c r="C14" s="83" t="s">
        <v>216</v>
      </c>
      <c r="D14" s="111">
        <v>114</v>
      </c>
      <c r="E14" s="112">
        <v>0.2</v>
      </c>
      <c r="F14" s="113">
        <v>5</v>
      </c>
    </row>
    <row r="15" spans="2:6">
      <c r="C15" s="83" t="s">
        <v>217</v>
      </c>
      <c r="D15" s="111">
        <v>118</v>
      </c>
      <c r="E15" s="112">
        <v>0.25</v>
      </c>
      <c r="F15" s="113">
        <v>10</v>
      </c>
    </row>
    <row r="16" spans="2:6">
      <c r="C16" s="84" t="s">
        <v>218</v>
      </c>
      <c r="D16" s="111">
        <v>119</v>
      </c>
      <c r="E16" s="112">
        <v>0.2</v>
      </c>
      <c r="F16" s="113">
        <v>6</v>
      </c>
    </row>
    <row r="17" spans="3:6">
      <c r="C17" s="83" t="s">
        <v>219</v>
      </c>
      <c r="D17" s="111">
        <v>121</v>
      </c>
      <c r="E17" s="114">
        <v>0.15</v>
      </c>
      <c r="F17" s="113">
        <v>6</v>
      </c>
    </row>
    <row r="18" spans="3:6" ht="30">
      <c r="C18" s="84" t="s">
        <v>220</v>
      </c>
      <c r="D18" s="111">
        <v>122</v>
      </c>
      <c r="E18" s="112">
        <v>0.1</v>
      </c>
      <c r="F18" s="113">
        <v>10</v>
      </c>
    </row>
    <row r="19" spans="3:6">
      <c r="C19" s="84" t="s">
        <v>221</v>
      </c>
      <c r="D19" s="111">
        <v>123</v>
      </c>
      <c r="E19" s="112">
        <v>0.1</v>
      </c>
      <c r="F19" s="113">
        <v>10</v>
      </c>
    </row>
    <row r="20" spans="3:6" ht="30">
      <c r="C20" s="84" t="s">
        <v>222</v>
      </c>
      <c r="D20" s="111">
        <v>124</v>
      </c>
      <c r="E20" s="112">
        <v>0.15</v>
      </c>
      <c r="F20" s="113">
        <v>10</v>
      </c>
    </row>
    <row r="21" spans="3:6">
      <c r="C21" s="83" t="s">
        <v>223</v>
      </c>
      <c r="D21" s="111">
        <v>125</v>
      </c>
      <c r="E21" s="114">
        <v>0.15</v>
      </c>
      <c r="F21" s="113">
        <v>10</v>
      </c>
    </row>
    <row r="22" spans="3:6" ht="30">
      <c r="C22" s="84" t="s">
        <v>224</v>
      </c>
      <c r="D22" s="111">
        <v>126</v>
      </c>
      <c r="E22" s="112">
        <v>0.2</v>
      </c>
      <c r="F22" s="113">
        <v>10</v>
      </c>
    </row>
    <row r="23" spans="3:6" ht="30">
      <c r="C23" s="84" t="s">
        <v>225</v>
      </c>
      <c r="D23" s="111">
        <v>127</v>
      </c>
      <c r="E23" s="115">
        <v>0.1</v>
      </c>
      <c r="F23" s="113">
        <v>10</v>
      </c>
    </row>
    <row r="24" spans="3:6" ht="30">
      <c r="C24" s="84" t="s">
        <v>226</v>
      </c>
      <c r="D24" s="111">
        <v>128</v>
      </c>
      <c r="E24" s="115">
        <v>0.05</v>
      </c>
      <c r="F24" s="113">
        <v>6</v>
      </c>
    </row>
    <row r="25" spans="3:6" ht="30">
      <c r="C25" s="84" t="s">
        <v>227</v>
      </c>
      <c r="D25" s="111">
        <v>129</v>
      </c>
      <c r="E25" s="115">
        <v>0.1</v>
      </c>
      <c r="F25" s="113">
        <v>10</v>
      </c>
    </row>
    <row r="26" spans="3:6">
      <c r="C26" s="83" t="s">
        <v>228</v>
      </c>
      <c r="D26" s="111">
        <v>130</v>
      </c>
      <c r="E26" s="114">
        <v>0.05</v>
      </c>
      <c r="F26" s="113">
        <v>6</v>
      </c>
    </row>
    <row r="27" spans="3:6">
      <c r="C27" s="83" t="s">
        <v>229</v>
      </c>
      <c r="D27" s="111">
        <v>131</v>
      </c>
      <c r="E27" s="115">
        <v>0.1</v>
      </c>
      <c r="F27" s="113">
        <v>10</v>
      </c>
    </row>
    <row r="28" spans="3:6">
      <c r="C28" s="83" t="s">
        <v>230</v>
      </c>
      <c r="D28" s="111">
        <v>132</v>
      </c>
      <c r="E28" s="115">
        <v>0.1</v>
      </c>
      <c r="F28" s="113">
        <v>10</v>
      </c>
    </row>
    <row r="29" spans="3:6">
      <c r="C29" s="83" t="s">
        <v>231</v>
      </c>
      <c r="D29" s="111">
        <v>133</v>
      </c>
      <c r="E29" s="115">
        <v>0.05</v>
      </c>
      <c r="F29" s="113">
        <v>5</v>
      </c>
    </row>
    <row r="30" spans="3:6">
      <c r="C30" s="83" t="s">
        <v>232</v>
      </c>
      <c r="D30" s="111">
        <v>202</v>
      </c>
      <c r="E30" s="112">
        <v>0.4</v>
      </c>
      <c r="F30" s="113">
        <v>15</v>
      </c>
    </row>
    <row r="31" spans="3:6">
      <c r="C31" s="83" t="s">
        <v>233</v>
      </c>
      <c r="D31" s="111">
        <v>201</v>
      </c>
      <c r="E31" s="112">
        <v>0.65</v>
      </c>
      <c r="F31" s="113">
        <v>15</v>
      </c>
    </row>
    <row r="32" spans="3:6">
      <c r="C32" s="83" t="s">
        <v>234</v>
      </c>
      <c r="D32" s="111">
        <v>203</v>
      </c>
      <c r="E32" s="112">
        <v>0.4</v>
      </c>
      <c r="F32" s="113">
        <v>20</v>
      </c>
    </row>
    <row r="33" spans="3:6">
      <c r="C33" s="84" t="s">
        <v>235</v>
      </c>
      <c r="D33" s="111">
        <v>204</v>
      </c>
      <c r="E33" s="112">
        <v>0.46</v>
      </c>
      <c r="F33" s="113">
        <v>20</v>
      </c>
    </row>
    <row r="34" spans="3:6">
      <c r="C34" s="83" t="s">
        <v>236</v>
      </c>
      <c r="D34" s="111">
        <v>205</v>
      </c>
      <c r="E34" s="114">
        <v>0.15</v>
      </c>
      <c r="F34" s="113">
        <v>10</v>
      </c>
    </row>
    <row r="35" spans="3:6">
      <c r="C35" s="83" t="s">
        <v>237</v>
      </c>
      <c r="D35" s="111">
        <v>206</v>
      </c>
      <c r="E35" s="112">
        <v>7.0000000000000007E-2</v>
      </c>
      <c r="F35" s="113">
        <v>10</v>
      </c>
    </row>
    <row r="36" spans="3:6">
      <c r="C36" s="84" t="s">
        <v>238</v>
      </c>
      <c r="D36" s="111">
        <v>207</v>
      </c>
      <c r="E36" s="112">
        <v>0.3</v>
      </c>
      <c r="F36" s="113">
        <v>10</v>
      </c>
    </row>
    <row r="37" spans="3:6">
      <c r="C37" s="83" t="s">
        <v>239</v>
      </c>
      <c r="D37" s="111">
        <v>209</v>
      </c>
      <c r="E37" s="114">
        <v>0.55000000000000004</v>
      </c>
      <c r="F37" s="113">
        <v>20</v>
      </c>
    </row>
    <row r="38" spans="3:6">
      <c r="C38" s="83" t="s">
        <v>240</v>
      </c>
      <c r="D38" s="111">
        <v>217</v>
      </c>
      <c r="E38" s="112">
        <v>0.6</v>
      </c>
      <c r="F38" s="113">
        <v>10</v>
      </c>
    </row>
    <row r="39" spans="3:6">
      <c r="C39" s="83" t="s">
        <v>241</v>
      </c>
      <c r="D39" s="111">
        <v>218</v>
      </c>
      <c r="E39" s="112">
        <v>0.55000000000000004</v>
      </c>
      <c r="F39" s="113">
        <v>20</v>
      </c>
    </row>
    <row r="40" spans="3:6">
      <c r="C40" s="83" t="s">
        <v>242</v>
      </c>
      <c r="D40" s="111">
        <v>219</v>
      </c>
      <c r="E40" s="112">
        <v>0.1</v>
      </c>
      <c r="F40" s="113">
        <v>10</v>
      </c>
    </row>
    <row r="41" spans="3:6">
      <c r="C41" s="83" t="s">
        <v>243</v>
      </c>
      <c r="D41" s="111">
        <v>222</v>
      </c>
      <c r="E41" s="112">
        <v>0.1</v>
      </c>
      <c r="F41" s="113">
        <v>10</v>
      </c>
    </row>
    <row r="42" spans="3:6">
      <c r="C42" s="83" t="s">
        <v>244</v>
      </c>
      <c r="D42" s="111">
        <v>303</v>
      </c>
      <c r="E42" s="112">
        <v>0.42</v>
      </c>
      <c r="F42" s="113">
        <v>10</v>
      </c>
    </row>
    <row r="43" spans="3:6">
      <c r="C43" s="84" t="s">
        <v>245</v>
      </c>
      <c r="D43" s="111">
        <v>304</v>
      </c>
      <c r="E43" s="112">
        <v>0.4</v>
      </c>
      <c r="F43" s="113">
        <v>15</v>
      </c>
    </row>
    <row r="44" spans="3:6">
      <c r="C44" s="83" t="s">
        <v>246</v>
      </c>
      <c r="D44" s="111">
        <v>305</v>
      </c>
      <c r="E44" s="114">
        <v>0.75</v>
      </c>
      <c r="F44" s="113">
        <v>15</v>
      </c>
    </row>
    <row r="45" spans="3:6">
      <c r="C45" s="85" t="s">
        <v>247</v>
      </c>
      <c r="D45" s="116">
        <v>401</v>
      </c>
      <c r="E45" s="117">
        <v>0.2</v>
      </c>
      <c r="F45" s="113">
        <v>2</v>
      </c>
    </row>
    <row r="46" spans="3:6">
      <c r="C46" s="85" t="s">
        <v>248</v>
      </c>
      <c r="D46" s="116">
        <v>402</v>
      </c>
      <c r="E46" s="117">
        <v>0.25</v>
      </c>
      <c r="F46" s="113">
        <v>2</v>
      </c>
    </row>
    <row r="47" spans="3:6">
      <c r="C47" s="84" t="s">
        <v>249</v>
      </c>
      <c r="D47" s="116">
        <v>403</v>
      </c>
      <c r="E47" s="117">
        <v>0.1</v>
      </c>
      <c r="F47" s="113">
        <v>2</v>
      </c>
    </row>
    <row r="48" spans="3:6">
      <c r="C48" s="84" t="s">
        <v>250</v>
      </c>
      <c r="D48" s="116">
        <v>404</v>
      </c>
      <c r="E48" s="117">
        <v>0.65</v>
      </c>
      <c r="F48" s="113">
        <v>2</v>
      </c>
    </row>
    <row r="49" spans="3:6">
      <c r="C49" s="85" t="s">
        <v>251</v>
      </c>
      <c r="D49" s="116">
        <v>407</v>
      </c>
      <c r="E49" s="114">
        <v>0.2</v>
      </c>
      <c r="F49" s="113">
        <v>10</v>
      </c>
    </row>
    <row r="50" spans="3:6">
      <c r="C50" s="83" t="s">
        <v>252</v>
      </c>
      <c r="D50" s="111">
        <v>501</v>
      </c>
      <c r="E50" s="112">
        <v>0.15</v>
      </c>
      <c r="F50" s="113">
        <v>20</v>
      </c>
    </row>
    <row r="51" spans="3:6">
      <c r="C51" s="83" t="s">
        <v>253</v>
      </c>
      <c r="D51" s="111">
        <v>502</v>
      </c>
      <c r="E51" s="112">
        <v>0.3</v>
      </c>
      <c r="F51" s="113">
        <v>20</v>
      </c>
    </row>
    <row r="52" spans="3:6">
      <c r="C52" s="83" t="s">
        <v>254</v>
      </c>
      <c r="D52" s="111">
        <v>503</v>
      </c>
      <c r="E52" s="112">
        <v>0.25</v>
      </c>
      <c r="F52" s="113">
        <v>20</v>
      </c>
    </row>
    <row r="53" spans="3:6">
      <c r="C53" s="83" t="s">
        <v>255</v>
      </c>
      <c r="D53" s="111">
        <v>504</v>
      </c>
      <c r="E53" s="112">
        <v>0.25</v>
      </c>
      <c r="F53" s="113">
        <v>20</v>
      </c>
    </row>
    <row r="54" spans="3:6">
      <c r="C54" s="84" t="s">
        <v>256</v>
      </c>
      <c r="D54" s="111">
        <v>505</v>
      </c>
      <c r="E54" s="112">
        <v>0.5</v>
      </c>
      <c r="F54" s="113">
        <v>10</v>
      </c>
    </row>
    <row r="55" spans="3:6">
      <c r="C55" s="83" t="s">
        <v>257</v>
      </c>
      <c r="D55" s="111">
        <v>506</v>
      </c>
      <c r="E55" s="114">
        <v>0.5</v>
      </c>
      <c r="F55" s="113">
        <v>10</v>
      </c>
    </row>
    <row r="56" spans="3:6">
      <c r="C56" s="84" t="s">
        <v>258</v>
      </c>
      <c r="D56" s="111">
        <v>507</v>
      </c>
      <c r="E56" s="114">
        <v>0.65</v>
      </c>
      <c r="F56" s="113">
        <v>10</v>
      </c>
    </row>
    <row r="57" spans="3:6">
      <c r="C57" s="84" t="s">
        <v>259</v>
      </c>
      <c r="D57" s="111">
        <v>510</v>
      </c>
      <c r="E57" s="118">
        <v>0.4</v>
      </c>
      <c r="F57" s="113">
        <v>10</v>
      </c>
    </row>
    <row r="58" spans="3:6">
      <c r="C58" s="83" t="s">
        <v>260</v>
      </c>
      <c r="D58" s="111">
        <v>511</v>
      </c>
      <c r="E58" s="114">
        <v>0.1</v>
      </c>
      <c r="F58" s="113">
        <v>10</v>
      </c>
    </row>
    <row r="59" spans="3:6">
      <c r="C59" s="83" t="s">
        <v>261</v>
      </c>
      <c r="D59" s="111">
        <v>514</v>
      </c>
      <c r="E59" s="112">
        <v>0.8</v>
      </c>
      <c r="F59" s="113">
        <v>30</v>
      </c>
    </row>
    <row r="60" spans="3:6">
      <c r="C60" s="83" t="s">
        <v>262</v>
      </c>
      <c r="D60" s="111">
        <v>515</v>
      </c>
      <c r="E60" s="112">
        <v>0.65</v>
      </c>
      <c r="F60" s="113">
        <v>30</v>
      </c>
    </row>
    <row r="61" spans="3:6">
      <c r="C61" s="84" t="s">
        <v>263</v>
      </c>
      <c r="D61" s="111">
        <v>516</v>
      </c>
      <c r="E61" s="112">
        <v>0.95</v>
      </c>
      <c r="F61" s="113">
        <v>20</v>
      </c>
    </row>
    <row r="62" spans="3:6">
      <c r="C62" s="83" t="s">
        <v>264</v>
      </c>
      <c r="D62" s="111">
        <v>517</v>
      </c>
      <c r="E62" s="114">
        <v>0.28000000000000003</v>
      </c>
      <c r="F62" s="113">
        <v>20</v>
      </c>
    </row>
    <row r="63" spans="3:6">
      <c r="C63" s="83" t="s">
        <v>265</v>
      </c>
      <c r="D63" s="111">
        <v>518</v>
      </c>
      <c r="E63" s="112">
        <v>0.45</v>
      </c>
      <c r="F63" s="113">
        <v>10</v>
      </c>
    </row>
    <row r="64" spans="3:6">
      <c r="C64" s="83" t="s">
        <v>70</v>
      </c>
      <c r="D64" s="111">
        <v>519</v>
      </c>
      <c r="E64" s="112">
        <v>0.25</v>
      </c>
      <c r="F64" s="113">
        <v>10</v>
      </c>
    </row>
    <row r="65" spans="3:6">
      <c r="C65" s="83" t="s">
        <v>266</v>
      </c>
      <c r="D65" s="111">
        <v>520</v>
      </c>
      <c r="E65" s="112">
        <v>0.4</v>
      </c>
      <c r="F65" s="113">
        <v>10</v>
      </c>
    </row>
    <row r="66" spans="3:6">
      <c r="C66" s="83" t="s">
        <v>267</v>
      </c>
      <c r="D66" s="111">
        <v>521</v>
      </c>
      <c r="E66" s="115">
        <v>0.25</v>
      </c>
      <c r="F66" s="113">
        <v>10</v>
      </c>
    </row>
    <row r="67" spans="3:6">
      <c r="C67" s="83" t="s">
        <v>268</v>
      </c>
      <c r="D67" s="111">
        <v>522</v>
      </c>
      <c r="E67" s="115">
        <v>0.4</v>
      </c>
      <c r="F67" s="113">
        <v>10</v>
      </c>
    </row>
    <row r="68" spans="3:6">
      <c r="C68" s="83" t="s">
        <v>269</v>
      </c>
      <c r="D68" s="111">
        <v>523</v>
      </c>
      <c r="E68" s="115">
        <v>0.95</v>
      </c>
      <c r="F68" s="113">
        <v>10</v>
      </c>
    </row>
    <row r="69" spans="3:6">
      <c r="C69" s="83" t="s">
        <v>270</v>
      </c>
      <c r="D69" s="111">
        <v>524</v>
      </c>
      <c r="E69" s="115">
        <v>0.1</v>
      </c>
      <c r="F69" s="113">
        <v>10</v>
      </c>
    </row>
    <row r="70" spans="3:6">
      <c r="C70" s="84" t="s">
        <v>271</v>
      </c>
      <c r="D70" s="111">
        <v>525</v>
      </c>
      <c r="E70" s="115">
        <v>0.25</v>
      </c>
      <c r="F70" s="113">
        <v>10</v>
      </c>
    </row>
    <row r="71" spans="3:6">
      <c r="C71" s="83" t="s">
        <v>272</v>
      </c>
      <c r="D71" s="111">
        <v>526</v>
      </c>
      <c r="E71" s="114">
        <v>0.5</v>
      </c>
      <c r="F71" s="113">
        <v>10</v>
      </c>
    </row>
    <row r="72" spans="3:6">
      <c r="C72" s="83" t="s">
        <v>273</v>
      </c>
      <c r="D72" s="111">
        <v>527</v>
      </c>
      <c r="E72" s="115">
        <v>0.95</v>
      </c>
      <c r="F72" s="113">
        <v>10</v>
      </c>
    </row>
    <row r="73" spans="3:6">
      <c r="C73" s="83" t="s">
        <v>274</v>
      </c>
      <c r="D73" s="111">
        <v>528</v>
      </c>
      <c r="E73" s="115">
        <v>0.2</v>
      </c>
      <c r="F73" s="113">
        <v>10</v>
      </c>
    </row>
    <row r="74" spans="3:6">
      <c r="C74" s="83" t="s">
        <v>275</v>
      </c>
      <c r="D74" s="111">
        <v>529</v>
      </c>
      <c r="E74" s="115">
        <v>0.35</v>
      </c>
      <c r="F74" s="113">
        <v>10</v>
      </c>
    </row>
    <row r="75" spans="3:6">
      <c r="C75" s="83" t="s">
        <v>276</v>
      </c>
      <c r="D75" s="111">
        <v>532</v>
      </c>
      <c r="E75" s="114">
        <v>0.25</v>
      </c>
      <c r="F75" s="113">
        <v>10</v>
      </c>
    </row>
    <row r="76" spans="3:6">
      <c r="C76" s="83" t="s">
        <v>277</v>
      </c>
      <c r="D76" s="111">
        <v>533</v>
      </c>
      <c r="E76" s="115">
        <v>0.15</v>
      </c>
      <c r="F76" s="113">
        <v>5</v>
      </c>
    </row>
    <row r="77" spans="3:6">
      <c r="C77" s="83" t="s">
        <v>278</v>
      </c>
      <c r="D77" s="111">
        <v>535</v>
      </c>
      <c r="E77" s="115">
        <v>0.2</v>
      </c>
      <c r="F77" s="113">
        <v>10</v>
      </c>
    </row>
    <row r="78" spans="3:6">
      <c r="C78" s="83" t="s">
        <v>279</v>
      </c>
      <c r="D78" s="111">
        <v>536</v>
      </c>
      <c r="E78" s="115">
        <v>0.4</v>
      </c>
      <c r="F78" s="113">
        <v>20</v>
      </c>
    </row>
    <row r="79" spans="3:6">
      <c r="C79" s="83" t="s">
        <v>280</v>
      </c>
      <c r="D79" s="111">
        <v>537</v>
      </c>
      <c r="E79" s="115">
        <v>0.4</v>
      </c>
      <c r="F79" s="113">
        <v>20</v>
      </c>
    </row>
    <row r="80" spans="3:6">
      <c r="C80" s="83" t="s">
        <v>281</v>
      </c>
      <c r="D80" s="111">
        <v>538</v>
      </c>
      <c r="E80" s="115">
        <v>0.45</v>
      </c>
      <c r="F80" s="113">
        <v>20</v>
      </c>
    </row>
    <row r="81" spans="3:6">
      <c r="C81" s="83" t="s">
        <v>282</v>
      </c>
      <c r="D81" s="111">
        <v>539</v>
      </c>
      <c r="E81" s="115">
        <v>0.4</v>
      </c>
      <c r="F81" s="113">
        <v>20</v>
      </c>
    </row>
    <row r="82" spans="3:6">
      <c r="C82" s="83" t="s">
        <v>283</v>
      </c>
      <c r="D82" s="111">
        <v>540</v>
      </c>
      <c r="E82" s="115">
        <v>0.25</v>
      </c>
      <c r="F82" s="113">
        <v>10</v>
      </c>
    </row>
    <row r="83" spans="3:6">
      <c r="C83" s="83" t="s">
        <v>284</v>
      </c>
      <c r="D83" s="111">
        <v>542</v>
      </c>
      <c r="E83" s="115">
        <v>0.35</v>
      </c>
      <c r="F83" s="113">
        <v>10</v>
      </c>
    </row>
    <row r="84" spans="3:6">
      <c r="C84" s="83" t="s">
        <v>285</v>
      </c>
      <c r="D84" s="111">
        <v>543</v>
      </c>
      <c r="E84" s="115">
        <v>0.35</v>
      </c>
      <c r="F84" s="113">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54ACF0A-14AD-42D9-A886-43E3C9E60D51}"/>
</file>

<file path=customXml/itemProps2.xml><?xml version="1.0" encoding="utf-8"?>
<ds:datastoreItem xmlns:ds="http://schemas.openxmlformats.org/officeDocument/2006/customXml" ds:itemID="{286C9804-4BDB-4AB9-A80E-CE3AB5EA1E8D}"/>
</file>

<file path=customXml/itemProps3.xml><?xml version="1.0" encoding="utf-8"?>
<ds:datastoreItem xmlns:ds="http://schemas.openxmlformats.org/officeDocument/2006/customXml" ds:itemID="{2D1033DC-1716-466A-9A31-1EACB8A379E9}"/>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Tim Slivensky</cp:lastModifiedBy>
  <cp:revision/>
  <dcterms:created xsi:type="dcterms:W3CDTF">2012-07-25T15:48:32Z</dcterms:created>
  <dcterms:modified xsi:type="dcterms:W3CDTF">2018-10-30T19:46:25Z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