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Community Development\Active Projects\City Projects\Pedestrian Bridge\"/>
    </mc:Choice>
  </mc:AlternateContent>
  <bookViews>
    <workbookView xWindow="0" yWindow="0" windowWidth="28800" windowHeight="1456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3" r:id="rId5"/>
    <sheet name="Assumed Values" sheetId="2" r:id="rId6"/>
    <sheet name="Value of Emissions" sheetId="6" r:id="rId7"/>
    <sheet name="Emission Factors - NOx" sheetId="14" r:id="rId8"/>
    <sheet name="Emission Factors - VOC" sheetId="16" r:id="rId9"/>
    <sheet name="Service Life" sheetId="17" r:id="rId10"/>
  </sheets>
  <externalReferences>
    <externalReference r:id="rId11"/>
    <externalReference r:id="rId12"/>
  </externalReferences>
  <definedNames>
    <definedName name="_2018_2025_Demand_Growth">#REF!</definedName>
    <definedName name="_2018_2025_V_C_Growth">#REF!</definedName>
    <definedName name="_2018_2045_Demand_Growth">#REF!</definedName>
    <definedName name="_2018_2045_V_C_Growth">#REF!</definedName>
    <definedName name="_2018_Capacity">'Inputs &amp; Outputs'!#REF!</definedName>
    <definedName name="_2018_V_C_Ratio">Calculations!#REF!</definedName>
    <definedName name="_2018_Volume">'Inputs &amp; Outputs'!#REF!</definedName>
    <definedName name="_2025_2045_Demand_Growth">#REF!</definedName>
    <definedName name="_2025_2045_V_C_Growth">#REF!</definedName>
    <definedName name="_2025_Capacity">'Inputs &amp; Outputs'!$E$10</definedName>
    <definedName name="_2025_V_C_Ratio">Calculations!#REF!</definedName>
    <definedName name="_2025_Volume">'Inputs &amp; Outputs'!#REF!</definedName>
    <definedName name="_2045_Capacity">'Inputs &amp; Outputs'!$E$11</definedName>
    <definedName name="_2045_V_C_Ratio">Calculations!#REF!</definedName>
    <definedName name="_2045_Volume">'Inputs &amp; Outputs'!#REF!</definedName>
    <definedName name="Annual_Days_of_Travel">#REF!</definedName>
    <definedName name="Application_ID_Number">'Inputs &amp; Outputs'!$B$7</definedName>
    <definedName name="Base_Year">#REF!</definedName>
    <definedName name="Discount_Rate">Calculations!#REF!</definedName>
    <definedName name="Name">'Inputs &amp; Outputs'!$B$6</definedName>
    <definedName name="_xlnm.Print_Area" localSheetId="5">'Assumed Values'!$B$2:$C$18</definedName>
    <definedName name="_xlnm.Print_Area" localSheetId="4">Calculations!#REF!</definedName>
    <definedName name="_xlnm.Print_Area" localSheetId="2">'Emissions Reduction Worksheet'!$A$3:$K$33</definedName>
    <definedName name="_xlnm.Print_Area" localSheetId="3">'Inputs &amp; Outputs'!$A$3:$E$36</definedName>
    <definedName name="_xlnm.Print_Area" localSheetId="0">Instructions!$A$1:$G$12</definedName>
    <definedName name="_xlnm.Print_Area" localSheetId="1">'ITS Delay Worksheet'!$A$3:$J$33</definedName>
    <definedName name="Real_wage_growth_rate">#REF!</definedName>
    <definedName name="Service_Life">'[1]Inputs &amp; Outputs'!$C$19</definedName>
    <definedName name="Sponsor_ID_Number__CSJ__etc.">'Inputs &amp; Outputs'!$B$8</definedName>
    <definedName name="Value_of_Delay_Savings__2015_____000s">[2]Calculations!$S$4:$S$36</definedName>
    <definedName name="Value_of_Delay_Savings__2018_____000s">Calculations!#REF!+Calculations!#REF!</definedName>
    <definedName name="Value_of_Travel_Time__VoTT___2018">#REF!</definedName>
    <definedName name="Vehicle_Occupancy">#REF!</definedName>
    <definedName name="Year_Open_to_Traffic?">'Inputs &amp; Outputs'!$B$13</definedName>
    <definedName name="Years_to_include_in_BCA_Analysis">#REF!</definedName>
  </definedNames>
  <calcPr calcId="162913"/>
</workbook>
</file>

<file path=xl/calcChain.xml><?xml version="1.0" encoding="utf-8"?>
<calcChain xmlns="http://schemas.openxmlformats.org/spreadsheetml/2006/main">
  <c r="B17" i="11" l="1"/>
  <c r="C6" i="13" l="1"/>
  <c r="G37" i="13" s="1"/>
  <c r="C5" i="13"/>
  <c r="G12" i="13" s="1"/>
  <c r="G13" i="13" l="1"/>
  <c r="G21" i="13"/>
  <c r="G6" i="13"/>
  <c r="G14" i="13"/>
  <c r="G22" i="13"/>
  <c r="G30" i="13"/>
  <c r="G7" i="13"/>
  <c r="G15" i="13"/>
  <c r="G23" i="13"/>
  <c r="G31" i="13"/>
  <c r="G8" i="13"/>
  <c r="G16" i="13"/>
  <c r="G24" i="13"/>
  <c r="G32" i="13"/>
  <c r="G9" i="13"/>
  <c r="G17" i="13"/>
  <c r="G25" i="13"/>
  <c r="G33" i="13"/>
  <c r="G10" i="13"/>
  <c r="G18" i="13"/>
  <c r="G26" i="13"/>
  <c r="G34" i="13"/>
  <c r="G11" i="13"/>
  <c r="G19" i="13"/>
  <c r="G27" i="13"/>
  <c r="G35" i="13"/>
  <c r="G20" i="13"/>
  <c r="G28" i="13"/>
  <c r="G36" i="13"/>
  <c r="G29" i="13"/>
  <c r="C10" i="2"/>
  <c r="C6" i="2" l="1"/>
  <c r="C5" i="2"/>
  <c r="C8" i="2" l="1"/>
  <c r="C7" i="2"/>
  <c r="C9" i="2" l="1"/>
  <c r="H11" i="13" s="1"/>
  <c r="I5" i="13"/>
  <c r="J5" i="13" s="1"/>
  <c r="K5" i="13" s="1"/>
  <c r="C11" i="13" l="1"/>
  <c r="C12" i="13" s="1"/>
  <c r="C7" i="13"/>
  <c r="C18" i="13" l="1"/>
  <c r="N5" i="13"/>
  <c r="O5" i="13" s="1"/>
  <c r="A37" i="11"/>
  <c r="C16" i="13" l="1"/>
  <c r="H5" i="13" l="1"/>
  <c r="L5" i="13" s="1"/>
  <c r="M5" i="13" s="1"/>
  <c r="F6" i="13" l="1"/>
  <c r="I6" i="13" l="1"/>
  <c r="H6" i="13"/>
  <c r="F7" i="13"/>
  <c r="I7" i="13" l="1"/>
  <c r="H7" i="13"/>
  <c r="J6" i="13"/>
  <c r="K6" i="13" s="1"/>
  <c r="N6" i="13"/>
  <c r="O6" i="13" s="1"/>
  <c r="F8" i="13"/>
  <c r="H8" i="13" l="1"/>
  <c r="I8" i="13"/>
  <c r="J7" i="13"/>
  <c r="K7" i="13" s="1"/>
  <c r="N7" i="13"/>
  <c r="O7" i="13" s="1"/>
  <c r="F9" i="13"/>
  <c r="H9" i="13" l="1"/>
  <c r="I9" i="13"/>
  <c r="N8" i="13"/>
  <c r="O8" i="13" s="1"/>
  <c r="J8" i="13"/>
  <c r="K8" i="13" s="1"/>
  <c r="F10" i="13"/>
  <c r="H10" i="13" l="1"/>
  <c r="I10" i="13"/>
  <c r="J9" i="13"/>
  <c r="K9" i="13" s="1"/>
  <c r="N9" i="13"/>
  <c r="O9" i="13" s="1"/>
  <c r="F11" i="13"/>
  <c r="I11" i="13" l="1"/>
  <c r="J10" i="13"/>
  <c r="K10" i="13" s="1"/>
  <c r="N10" i="13"/>
  <c r="O10" i="13" s="1"/>
  <c r="F12" i="13"/>
  <c r="H12" i="13" l="1"/>
  <c r="I12" i="13"/>
  <c r="J11" i="13"/>
  <c r="K11" i="13" s="1"/>
  <c r="N11" i="13"/>
  <c r="O11" i="13" s="1"/>
  <c r="F13" i="13"/>
  <c r="H13" i="13" l="1"/>
  <c r="I13" i="13"/>
  <c r="J12" i="13"/>
  <c r="K12" i="13" s="1"/>
  <c r="N12" i="13"/>
  <c r="O12" i="13" s="1"/>
  <c r="F14" i="13"/>
  <c r="H14" i="13" l="1"/>
  <c r="I14" i="13"/>
  <c r="J13" i="13"/>
  <c r="K13" i="13" s="1"/>
  <c r="N13" i="13"/>
  <c r="O13" i="13" s="1"/>
  <c r="F15" i="13"/>
  <c r="H15" i="13" l="1"/>
  <c r="I15" i="13"/>
  <c r="J14" i="13"/>
  <c r="K14" i="13" s="1"/>
  <c r="N14" i="13"/>
  <c r="O14" i="13" s="1"/>
  <c r="F16" i="13"/>
  <c r="H16" i="13" l="1"/>
  <c r="I16" i="13"/>
  <c r="J15" i="13"/>
  <c r="K15" i="13" s="1"/>
  <c r="N15" i="13"/>
  <c r="O15" i="13" s="1"/>
  <c r="F17" i="13"/>
  <c r="H17" i="13" l="1"/>
  <c r="I17" i="13"/>
  <c r="J16" i="13"/>
  <c r="K16" i="13" s="1"/>
  <c r="N16" i="13"/>
  <c r="O16" i="13" s="1"/>
  <c r="F18" i="13"/>
  <c r="H18" i="13" l="1"/>
  <c r="I18" i="13"/>
  <c r="J17" i="13"/>
  <c r="K17" i="13" s="1"/>
  <c r="N17" i="13"/>
  <c r="O17" i="13" s="1"/>
  <c r="F19" i="13"/>
  <c r="H19" i="13" l="1"/>
  <c r="I19" i="13"/>
  <c r="J18" i="13"/>
  <c r="K18" i="13" s="1"/>
  <c r="N18" i="13"/>
  <c r="O18" i="13" s="1"/>
  <c r="F20" i="13"/>
  <c r="B18" i="5"/>
  <c r="E17" i="5" s="1"/>
  <c r="G4" i="7"/>
  <c r="H4" i="7" s="1"/>
  <c r="G4" i="5"/>
  <c r="G5" i="5" s="1"/>
  <c r="G6" i="5" s="1"/>
  <c r="G7" i="5" s="1"/>
  <c r="G8" i="5" s="1"/>
  <c r="G9" i="5" s="1"/>
  <c r="G10" i="5" s="1"/>
  <c r="G11" i="5" s="1"/>
  <c r="G12" i="5" s="1"/>
  <c r="G13" i="5" s="1"/>
  <c r="G14" i="5" s="1"/>
  <c r="B18" i="7"/>
  <c r="G5" i="7"/>
  <c r="H5" i="7" s="1"/>
  <c r="B17" i="7"/>
  <c r="B16" i="7"/>
  <c r="E17" i="7"/>
  <c r="H20" i="13" l="1"/>
  <c r="I20" i="13"/>
  <c r="I4" i="7"/>
  <c r="J19" i="13"/>
  <c r="K19" i="13" s="1"/>
  <c r="N19" i="13"/>
  <c r="O19" i="13" s="1"/>
  <c r="P5" i="13"/>
  <c r="P13" i="13"/>
  <c r="B19" i="5"/>
  <c r="E18" i="5" s="1"/>
  <c r="J4" i="5" s="1"/>
  <c r="L13" i="13"/>
  <c r="F21" i="13"/>
  <c r="J14" i="5"/>
  <c r="H14" i="5"/>
  <c r="G15" i="5"/>
  <c r="H10" i="5"/>
  <c r="G6" i="7"/>
  <c r="I5" i="7"/>
  <c r="H6" i="5"/>
  <c r="H11" i="5"/>
  <c r="H12" i="5"/>
  <c r="H4" i="5"/>
  <c r="H13" i="5"/>
  <c r="H5" i="5"/>
  <c r="H7" i="5"/>
  <c r="H8" i="5"/>
  <c r="H9" i="5"/>
  <c r="H21" i="13" l="1"/>
  <c r="I21" i="13"/>
  <c r="J20" i="13"/>
  <c r="K20" i="13" s="1"/>
  <c r="N20" i="13"/>
  <c r="O20" i="13" s="1"/>
  <c r="Q13" i="13"/>
  <c r="J9" i="5"/>
  <c r="J10" i="5"/>
  <c r="J6" i="5"/>
  <c r="J13" i="5"/>
  <c r="J11" i="5"/>
  <c r="J7" i="5"/>
  <c r="J5" i="5"/>
  <c r="J12" i="5"/>
  <c r="J8" i="5"/>
  <c r="F22" i="13"/>
  <c r="B20" i="5"/>
  <c r="I9" i="5" s="1"/>
  <c r="B21" i="5"/>
  <c r="K4" i="5" s="1"/>
  <c r="H6" i="7"/>
  <c r="I6" i="7"/>
  <c r="G7" i="7"/>
  <c r="H15" i="5"/>
  <c r="G16" i="5"/>
  <c r="J15" i="5"/>
  <c r="B19" i="7"/>
  <c r="H22" i="13" l="1"/>
  <c r="I22" i="13"/>
  <c r="J21" i="13"/>
  <c r="K21" i="13" s="1"/>
  <c r="N21" i="13"/>
  <c r="O21" i="13" s="1"/>
  <c r="Q5" i="13"/>
  <c r="I7" i="5"/>
  <c r="F23" i="13"/>
  <c r="I4" i="5"/>
  <c r="I10" i="5"/>
  <c r="I8" i="5"/>
  <c r="K5" i="5"/>
  <c r="I13" i="5"/>
  <c r="K12" i="5"/>
  <c r="I11" i="5"/>
  <c r="K13" i="5"/>
  <c r="I6" i="5"/>
  <c r="I5" i="5"/>
  <c r="K9" i="5"/>
  <c r="I14" i="5"/>
  <c r="K8" i="5"/>
  <c r="K6" i="5"/>
  <c r="K15" i="5"/>
  <c r="I12" i="5"/>
  <c r="K10" i="5"/>
  <c r="M13" i="13"/>
  <c r="K7" i="5"/>
  <c r="K11" i="5"/>
  <c r="K14" i="5"/>
  <c r="H16" i="5"/>
  <c r="I16" i="5" s="1"/>
  <c r="J16" i="5"/>
  <c r="K16" i="5" s="1"/>
  <c r="G17" i="5"/>
  <c r="I15" i="5"/>
  <c r="G8" i="7"/>
  <c r="H7" i="7"/>
  <c r="I7" i="7"/>
  <c r="J7" i="7" s="1"/>
  <c r="J6" i="7"/>
  <c r="J5" i="7"/>
  <c r="J4" i="7"/>
  <c r="H23" i="13" l="1"/>
  <c r="I23" i="13"/>
  <c r="J22" i="13"/>
  <c r="K22" i="13" s="1"/>
  <c r="N22" i="13"/>
  <c r="O22" i="13" s="1"/>
  <c r="F24" i="13"/>
  <c r="H8" i="7"/>
  <c r="I8" i="7"/>
  <c r="J8" i="7" s="1"/>
  <c r="G9" i="7"/>
  <c r="G18" i="5"/>
  <c r="H17" i="5"/>
  <c r="J17" i="5"/>
  <c r="K17" i="5" s="1"/>
  <c r="B11" i="7"/>
  <c r="B12" i="7" s="1"/>
  <c r="H24" i="13" l="1"/>
  <c r="I24" i="13"/>
  <c r="J23" i="13"/>
  <c r="K23" i="13" s="1"/>
  <c r="N23" i="13"/>
  <c r="O23" i="13" s="1"/>
  <c r="F25" i="13"/>
  <c r="I17" i="5"/>
  <c r="G10" i="7"/>
  <c r="H9" i="7"/>
  <c r="I9" i="7"/>
  <c r="J9" i="7" s="1"/>
  <c r="G19" i="5"/>
  <c r="H18" i="5"/>
  <c r="I18" i="5" s="1"/>
  <c r="J18" i="5"/>
  <c r="K18" i="5" s="1"/>
  <c r="H25" i="13" l="1"/>
  <c r="I25" i="13"/>
  <c r="J24" i="13"/>
  <c r="K24" i="13" s="1"/>
  <c r="N24" i="13"/>
  <c r="O24" i="13" s="1"/>
  <c r="P24" i="13" s="1"/>
  <c r="F26" i="13"/>
  <c r="J19" i="5"/>
  <c r="K19" i="5" s="1"/>
  <c r="G20" i="5"/>
  <c r="H19" i="5"/>
  <c r="I19" i="5" s="1"/>
  <c r="G11" i="7"/>
  <c r="H10" i="7"/>
  <c r="I10" i="7" s="1"/>
  <c r="J10" i="7" s="1"/>
  <c r="J25" i="13" l="1"/>
  <c r="K25" i="13" s="1"/>
  <c r="N25" i="13"/>
  <c r="O25" i="13" s="1"/>
  <c r="P25" i="13" s="1"/>
  <c r="H26" i="13"/>
  <c r="I26" i="13"/>
  <c r="Q24" i="13"/>
  <c r="F27" i="13"/>
  <c r="H11" i="7"/>
  <c r="I11" i="7"/>
  <c r="J11" i="7" s="1"/>
  <c r="G12" i="7"/>
  <c r="J20" i="5"/>
  <c r="K20" i="5" s="1"/>
  <c r="G21" i="5"/>
  <c r="H20" i="5"/>
  <c r="N26" i="13" l="1"/>
  <c r="O26" i="13" s="1"/>
  <c r="P26" i="13" s="1"/>
  <c r="J26" i="13"/>
  <c r="K26" i="13" s="1"/>
  <c r="H27" i="13"/>
  <c r="I27" i="13"/>
  <c r="F28" i="13"/>
  <c r="Q25" i="13"/>
  <c r="I20" i="5"/>
  <c r="G13" i="7"/>
  <c r="H12" i="7"/>
  <c r="I12" i="7" s="1"/>
  <c r="J12" i="7" s="1"/>
  <c r="J21" i="5"/>
  <c r="K21" i="5" s="1"/>
  <c r="H21" i="5"/>
  <c r="I21" i="5" s="1"/>
  <c r="G22" i="5"/>
  <c r="J27" i="13" l="1"/>
  <c r="K27" i="13" s="1"/>
  <c r="N27" i="13"/>
  <c r="O27" i="13" s="1"/>
  <c r="P27" i="13" s="1"/>
  <c r="H28" i="13"/>
  <c r="I28" i="13"/>
  <c r="F29" i="13"/>
  <c r="Q26" i="13"/>
  <c r="H13" i="7"/>
  <c r="I13" i="7" s="1"/>
  <c r="J13" i="7" s="1"/>
  <c r="G14" i="7"/>
  <c r="J22" i="5"/>
  <c r="K22" i="5" s="1"/>
  <c r="G23" i="5"/>
  <c r="H22" i="5"/>
  <c r="I22" i="5" s="1"/>
  <c r="H29" i="13" l="1"/>
  <c r="I29" i="13"/>
  <c r="J28" i="13"/>
  <c r="K28" i="13" s="1"/>
  <c r="N28" i="13"/>
  <c r="O28" i="13" s="1"/>
  <c r="P28" i="13" s="1"/>
  <c r="Q27" i="13"/>
  <c r="F30" i="13"/>
  <c r="H23" i="5"/>
  <c r="I23" i="5" s="1"/>
  <c r="J23" i="5"/>
  <c r="K23" i="5" s="1"/>
  <c r="G24" i="5"/>
  <c r="H14" i="7"/>
  <c r="I14" i="7" s="1"/>
  <c r="J14" i="7" s="1"/>
  <c r="G15" i="7"/>
  <c r="H30" i="13" l="1"/>
  <c r="I30" i="13"/>
  <c r="J29" i="13"/>
  <c r="K29" i="13" s="1"/>
  <c r="N29" i="13"/>
  <c r="O29" i="13" s="1"/>
  <c r="P29" i="13" s="1"/>
  <c r="F31" i="13"/>
  <c r="Q28" i="13"/>
  <c r="G16" i="7"/>
  <c r="H15" i="7"/>
  <c r="I15" i="7"/>
  <c r="J15" i="7" s="1"/>
  <c r="H24" i="5"/>
  <c r="I24" i="5" s="1"/>
  <c r="J24" i="5"/>
  <c r="K24" i="5" s="1"/>
  <c r="G25" i="5"/>
  <c r="H31" i="13" l="1"/>
  <c r="I31" i="13"/>
  <c r="J30" i="13"/>
  <c r="K30" i="13" s="1"/>
  <c r="N30" i="13"/>
  <c r="O30" i="13" s="1"/>
  <c r="P30" i="13" s="1"/>
  <c r="B11" i="5"/>
  <c r="B12" i="5" s="1"/>
  <c r="Q29" i="13"/>
  <c r="F32" i="13"/>
  <c r="G26" i="5"/>
  <c r="H25" i="5"/>
  <c r="I25" i="5" s="1"/>
  <c r="J25" i="5"/>
  <c r="K25" i="5" s="1"/>
  <c r="H16" i="7"/>
  <c r="I16" i="7"/>
  <c r="J16" i="7" s="1"/>
  <c r="G17" i="7"/>
  <c r="H32" i="13" l="1"/>
  <c r="I32" i="13"/>
  <c r="J31" i="13"/>
  <c r="K31" i="13" s="1"/>
  <c r="N31" i="13"/>
  <c r="O31" i="13" s="1"/>
  <c r="P31" i="13" s="1"/>
  <c r="F33" i="13"/>
  <c r="Q30" i="13"/>
  <c r="H17" i="7"/>
  <c r="I17" i="7" s="1"/>
  <c r="J17" i="7" s="1"/>
  <c r="G18" i="7"/>
  <c r="G27" i="5"/>
  <c r="H26" i="5"/>
  <c r="I26" i="5" s="1"/>
  <c r="J26" i="5"/>
  <c r="K26" i="5" s="1"/>
  <c r="H33" i="13" l="1"/>
  <c r="I33" i="13"/>
  <c r="J32" i="13"/>
  <c r="K32" i="13" s="1"/>
  <c r="N32" i="13"/>
  <c r="O32" i="13" s="1"/>
  <c r="P32" i="13" s="1"/>
  <c r="F34" i="13"/>
  <c r="Q31" i="13"/>
  <c r="J27" i="5"/>
  <c r="K27" i="5" s="1"/>
  <c r="G28" i="5"/>
  <c r="H27" i="5"/>
  <c r="I27" i="5" s="1"/>
  <c r="G19" i="7"/>
  <c r="H18" i="7"/>
  <c r="I18" i="7" s="1"/>
  <c r="J18" i="7" s="1"/>
  <c r="H34" i="13" l="1"/>
  <c r="I34" i="13"/>
  <c r="J33" i="13"/>
  <c r="K33" i="13" s="1"/>
  <c r="N33" i="13"/>
  <c r="O33" i="13" s="1"/>
  <c r="P33" i="13" s="1"/>
  <c r="Q32" i="13"/>
  <c r="F35" i="13"/>
  <c r="G29" i="5"/>
  <c r="H28" i="5"/>
  <c r="I28" i="5" s="1"/>
  <c r="J28" i="5"/>
  <c r="K28" i="5" s="1"/>
  <c r="H19" i="7"/>
  <c r="I19" i="7"/>
  <c r="J19" i="7" s="1"/>
  <c r="G20" i="7"/>
  <c r="H35" i="13" l="1"/>
  <c r="I35" i="13"/>
  <c r="J34" i="13"/>
  <c r="K34" i="13" s="1"/>
  <c r="N34" i="13"/>
  <c r="O34" i="13" s="1"/>
  <c r="P34" i="13" s="1"/>
  <c r="Q33" i="13"/>
  <c r="F36" i="13"/>
  <c r="G21" i="7"/>
  <c r="H20" i="7"/>
  <c r="I20" i="7" s="1"/>
  <c r="J20" i="7" s="1"/>
  <c r="J29" i="5"/>
  <c r="K29" i="5" s="1"/>
  <c r="H29" i="5"/>
  <c r="J35" i="13" l="1"/>
  <c r="K35" i="13" s="1"/>
  <c r="N35" i="13"/>
  <c r="O35" i="13" s="1"/>
  <c r="P35" i="13" s="1"/>
  <c r="H36" i="13"/>
  <c r="I36" i="13"/>
  <c r="F37" i="13"/>
  <c r="Q34" i="13"/>
  <c r="I29" i="5"/>
  <c r="B13" i="5"/>
  <c r="H21" i="7"/>
  <c r="I21" i="7"/>
  <c r="J21" i="7" s="1"/>
  <c r="G22" i="7"/>
  <c r="H37" i="13" l="1"/>
  <c r="I37" i="13"/>
  <c r="J36" i="13"/>
  <c r="K36" i="13" s="1"/>
  <c r="N36" i="13"/>
  <c r="O36" i="13" s="1"/>
  <c r="P36" i="13" s="1"/>
  <c r="Q35" i="13"/>
  <c r="H22" i="7"/>
  <c r="I22" i="7" s="1"/>
  <c r="J22" i="7" s="1"/>
  <c r="G23" i="7"/>
  <c r="J37" i="13" l="1"/>
  <c r="K37" i="13" s="1"/>
  <c r="N37" i="13"/>
  <c r="O37" i="13" s="1"/>
  <c r="P37" i="13" s="1"/>
  <c r="Q36" i="13"/>
  <c r="G24" i="7"/>
  <c r="H23" i="7"/>
  <c r="I23" i="7" s="1"/>
  <c r="J23" i="7" s="1"/>
  <c r="Q37" i="13" l="1"/>
  <c r="H24" i="7"/>
  <c r="I24" i="7" s="1"/>
  <c r="J24" i="7" s="1"/>
  <c r="G25" i="7"/>
  <c r="G26" i="7" l="1"/>
  <c r="H25" i="7"/>
  <c r="I25" i="7" s="1"/>
  <c r="J25" i="7" s="1"/>
  <c r="G27" i="7" l="1"/>
  <c r="H26" i="7"/>
  <c r="I26" i="7" s="1"/>
  <c r="J26" i="7" s="1"/>
  <c r="H27" i="7" l="1"/>
  <c r="I27" i="7" s="1"/>
  <c r="J27" i="7" s="1"/>
  <c r="G28" i="7"/>
  <c r="H28" i="7" l="1"/>
  <c r="I28" i="7" s="1"/>
  <c r="J28" i="7" s="1"/>
  <c r="G29" i="7"/>
  <c r="H29" i="7" l="1"/>
  <c r="I29" i="7" s="1"/>
  <c r="J29" i="7" s="1"/>
  <c r="P20" i="13" l="1"/>
  <c r="P22" i="13"/>
  <c r="P16" i="13"/>
  <c r="P15" i="13"/>
  <c r="P17" i="13"/>
  <c r="L19" i="13"/>
  <c r="L12" i="13"/>
  <c r="L20" i="13"/>
  <c r="L16" i="13"/>
  <c r="L15" i="13"/>
  <c r="L22" i="13"/>
  <c r="P21" i="13"/>
  <c r="P14" i="13"/>
  <c r="P18" i="13"/>
  <c r="P12" i="13"/>
  <c r="L14" i="13"/>
  <c r="P23" i="13"/>
  <c r="P6" i="13"/>
  <c r="P19" i="13"/>
  <c r="L21" i="13"/>
  <c r="L18" i="13"/>
  <c r="P11" i="13"/>
  <c r="L17" i="13"/>
  <c r="Q15" i="13" l="1"/>
  <c r="Q18" i="13"/>
  <c r="Q14" i="13"/>
  <c r="Q21" i="13"/>
  <c r="Q16" i="13"/>
  <c r="M20" i="13"/>
  <c r="Q11" i="13"/>
  <c r="M19" i="13"/>
  <c r="M18" i="13"/>
  <c r="Q17" i="13"/>
  <c r="M21" i="13"/>
  <c r="Q19" i="13"/>
  <c r="M22" i="13"/>
  <c r="Q6" i="13"/>
  <c r="M15" i="13"/>
  <c r="Q22" i="13"/>
  <c r="Q23" i="13"/>
  <c r="M16" i="13"/>
  <c r="Q20" i="13"/>
  <c r="M14" i="13"/>
  <c r="M17" i="13"/>
  <c r="Q12" i="13"/>
  <c r="M12" i="13"/>
  <c r="L9" i="13"/>
  <c r="P10" i="13"/>
  <c r="P7" i="13"/>
  <c r="L11" i="13"/>
  <c r="L8" i="13"/>
  <c r="P9" i="13"/>
  <c r="L7" i="13"/>
  <c r="L6" i="13"/>
  <c r="L10" i="13"/>
  <c r="P8" i="13"/>
  <c r="Q8" i="13" l="1"/>
  <c r="M10" i="13"/>
  <c r="M9" i="13"/>
  <c r="M11" i="13"/>
  <c r="Q10" i="13"/>
  <c r="M7" i="13"/>
  <c r="M8" i="13"/>
  <c r="Q7" i="13"/>
  <c r="O38" i="13"/>
  <c r="B39" i="11" s="1"/>
  <c r="P38" i="13" l="1"/>
  <c r="Q9" i="13"/>
  <c r="Q38" i="13" s="1"/>
  <c r="B32" i="11" s="1"/>
  <c r="M6" i="13"/>
  <c r="L32" i="13"/>
  <c r="L30" i="13"/>
  <c r="L33" i="13"/>
  <c r="L25" i="13"/>
  <c r="M25" i="13" s="1"/>
  <c r="L28" i="13"/>
  <c r="L27" i="13"/>
  <c r="L31" i="13"/>
  <c r="L29" i="13"/>
  <c r="L23" i="13"/>
  <c r="L26" i="13" l="1"/>
  <c r="M26" i="13" s="1"/>
  <c r="L24" i="13"/>
  <c r="M24" i="13" s="1"/>
  <c r="M29" i="13"/>
  <c r="M32" i="13"/>
  <c r="M33" i="13"/>
  <c r="M31" i="13"/>
  <c r="M27" i="13"/>
  <c r="M28" i="13"/>
  <c r="M23" i="13"/>
  <c r="M30" i="13"/>
  <c r="L34" i="13"/>
  <c r="L35" i="13"/>
  <c r="M35" i="13" l="1"/>
  <c r="M34" i="13"/>
  <c r="L37" i="13"/>
  <c r="L36" i="13"/>
  <c r="M37" i="13" l="1"/>
  <c r="K38" i="13"/>
  <c r="B38" i="11" s="1"/>
  <c r="M36" i="13" l="1"/>
  <c r="M38" i="13" s="1"/>
  <c r="B31" i="11" s="1"/>
  <c r="L38" i="13"/>
  <c r="B35" i="11" l="1"/>
</calcChain>
</file>

<file path=xl/sharedStrings.xml><?xml version="1.0" encoding="utf-8"?>
<sst xmlns="http://schemas.openxmlformats.org/spreadsheetml/2006/main" count="275" uniqueCount="141">
  <si>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</si>
  <si>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</si>
  <si>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</si>
  <si>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</si>
  <si>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</si>
  <si>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</si>
  <si>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</si>
  <si>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</si>
  <si>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</si>
  <si>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</si>
  <si>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</si>
  <si>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</si>
  <si>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</si>
  <si>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</si>
  <si>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</si>
  <si>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</si>
  <si>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</si>
  <si>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</si>
  <si>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</si>
  <si>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</si>
  <si>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</si>
  <si>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</si>
  <si>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</si>
  <si>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</si>
  <si>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</si>
  <si>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Value of Emissions, TIGER BCA Resource Guide</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</si>
  <si>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</si>
  <si>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</si>
  <si>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</si>
  <si>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</si>
  <si>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</si>
  <si>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</si>
  <si>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</si>
  <si>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</si>
  <si>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</si>
  <si>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</si>
  <si>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</si>
  <si>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</si>
  <si>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</si>
  <si>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</si>
  <si>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</si>
  <si>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</si>
  <si>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</si>
  <si>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</si>
  <si>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</si>
  <si>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</si>
  <si>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</si>
  <si>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</si>
  <si>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</si>
  <si>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</si>
  <si>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</si>
  <si>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</si>
  <si>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</si>
  <si>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</si>
  <si>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</si>
  <si>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</si>
  <si>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Use in Analysis?</t>
  </si>
  <si>
    <t>Benefit Results</t>
  </si>
  <si>
    <t>INPUTS</t>
  </si>
  <si>
    <t>OUTPUTS</t>
  </si>
  <si>
    <r>
      <t xml:space="preserve">Year Open to Traffic? </t>
    </r>
    <r>
      <rPr>
        <b/>
        <sz val="11"/>
        <color theme="1"/>
        <rFont val="Calibri"/>
        <family val="2"/>
        <scheme val="minor"/>
      </rPr>
      <t>(Must be &gt;=2021)</t>
    </r>
  </si>
  <si>
    <t>Applicable Project Life (years)</t>
  </si>
  <si>
    <t>NOx (g/day)</t>
  </si>
  <si>
    <t>Total</t>
  </si>
  <si>
    <t>NOx Emission Reduction Benefit</t>
  </si>
  <si>
    <t>Annual Emission Reductions Over Life of Project</t>
  </si>
  <si>
    <t>Discounted NOx Benefit (7%)</t>
  </si>
  <si>
    <t>VOC Emission Reduction Benefit</t>
  </si>
  <si>
    <t>Discounted VOC Benefit (7%)</t>
  </si>
  <si>
    <t>Brazoria</t>
  </si>
  <si>
    <t>Chambers</t>
  </si>
  <si>
    <t>Fort Bend</t>
  </si>
  <si>
    <t>Galveston</t>
  </si>
  <si>
    <t>Harris</t>
  </si>
  <si>
    <t>Liberty</t>
  </si>
  <si>
    <t>Montgomery</t>
  </si>
  <si>
    <t>Waller</t>
  </si>
  <si>
    <t>Project County</t>
  </si>
  <si>
    <t>Determined from Project Inputs</t>
  </si>
  <si>
    <t>Facility Type</t>
  </si>
  <si>
    <t>Speed Bin</t>
  </si>
  <si>
    <t>VOC Emission Reductions (tons/year)</t>
  </si>
  <si>
    <t>Freeway</t>
  </si>
  <si>
    <t>Non Freeway</t>
  </si>
  <si>
    <t>Total Emissions Benefit Results</t>
  </si>
  <si>
    <t>Proposed Improvements Information</t>
  </si>
  <si>
    <t>Average Roadway Speed (mph)</t>
  </si>
  <si>
    <t>Type of Improvement</t>
  </si>
  <si>
    <t>Daily Travel Demand</t>
  </si>
  <si>
    <t>Average One way Trip Length</t>
  </si>
  <si>
    <t>Number of New Daily Users in Year Open to Traffic</t>
  </si>
  <si>
    <t>2018-2025 Demand Growth</t>
  </si>
  <si>
    <t>2025-2045 Demand Growth</t>
  </si>
  <si>
    <t>2018-2045 Demand Growth</t>
  </si>
  <si>
    <t>Estimated Travel Demand Reduced</t>
  </si>
  <si>
    <t>Estimated Daily VMT Reduced</t>
  </si>
  <si>
    <t>Estimated Daily Volume Reduced  in Year Open to Traffic</t>
  </si>
  <si>
    <t>Demand Growth</t>
  </si>
  <si>
    <t>n/a</t>
  </si>
  <si>
    <t>Service Life of Project</t>
  </si>
  <si>
    <t>VOC (g/day)</t>
  </si>
  <si>
    <t>2018 TIP Call For Projects - Benefit-Cost Analysis Assumptions*</t>
  </si>
  <si>
    <t>$ /Short ton ($2017)</t>
  </si>
  <si>
    <t>2025 Peak Period Traffic Volume</t>
  </si>
  <si>
    <t>Facility Types</t>
  </si>
  <si>
    <t>Non-Freeway</t>
  </si>
  <si>
    <t>Estimated Daily VMT Reduced in Year Open to traffic</t>
  </si>
  <si>
    <t>https://www.transportation.gov/sites/dot.gov/files/docs/mission/office-policy/transportation-policy/284031/benefit-cost-analysis-guidance-2018_0.pdf</t>
  </si>
  <si>
    <t>All emissions rate are in gms/miles</t>
  </si>
  <si>
    <t>NOx (Short ton/yr)</t>
  </si>
  <si>
    <t>Volatile Organic Compounds (VOCs), $ / Short ton</t>
  </si>
  <si>
    <t>VOC (Short ton/yr)</t>
  </si>
  <si>
    <t>Number of Days considered in a Year (Weekdays)</t>
  </si>
  <si>
    <t>Vehicle Occupancy (BCA Guidance)</t>
  </si>
  <si>
    <t>Estimated NOx Reductions In Year Open to Traffic (in gms/day)</t>
  </si>
  <si>
    <t>Estimated VOC Reductions In Year Open to Traffic (in Gms/day)</t>
  </si>
  <si>
    <t>Discounted NOx Benefits @ 7% (2018 $)</t>
  </si>
  <si>
    <t>Discounted VOC Benefits @ 7% (2018 $)</t>
  </si>
  <si>
    <t xml:space="preserve">Nitrogen oxides (NOx), $ / Short </t>
  </si>
  <si>
    <t>All emissions rate are in gms/mile</t>
  </si>
  <si>
    <t>Discounted Emissions Benefits @ 7% (2018 $)</t>
  </si>
  <si>
    <t>All Rates are in gms/mile</t>
  </si>
  <si>
    <t>Service Life</t>
  </si>
  <si>
    <t>Install new Sidewalks</t>
  </si>
  <si>
    <t>Sidewalk improvements</t>
  </si>
  <si>
    <t>ADA Ramps</t>
  </si>
  <si>
    <t>Paved Shoulder/Shared Use path</t>
  </si>
  <si>
    <t>On Street bicycle lane</t>
  </si>
  <si>
    <t>Pedestrian/Bicycle Bridge/Underpass</t>
  </si>
  <si>
    <t>Off street hike &amp; bike trails</t>
  </si>
  <si>
    <t>Data entered by the sponsors</t>
  </si>
  <si>
    <t>HGAC regional travel demand model data provided by HGAC</t>
  </si>
  <si>
    <t>Data populated/calculated based on inputs</t>
  </si>
  <si>
    <t>Benefits calculated by the template</t>
  </si>
  <si>
    <t xml:space="preserve">2018 Peak Period Traffic Volume </t>
  </si>
  <si>
    <t>2045 Peak Period Traffic Volume</t>
  </si>
  <si>
    <t>NOx Emission Reductions (tons/year)</t>
  </si>
  <si>
    <t>Source: https://moser.tti.tamu.edu/docs/Texas.Guide.to.Accepted.Mobile.Source.Emission.Reduction.Strategies_August.2007.pdf</t>
  </si>
  <si>
    <t>Pedestrian Bridge</t>
  </si>
  <si>
    <t>TIPSRS-2018</t>
  </si>
  <si>
    <t>PWPB2018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</si>
</sst>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_(* #,##0.0000_);_(* \(#,##0.0000\);_(* &quot;-&quot;????_);_(@_)"/>
    <numFmt numFmtId="169" formatCode="0.00000000"/>
    <numFmt numFmtId="170" formatCode="_(* #,##0.00000_);_(* \(#,##0.00000\);_(* &quot;-&quot;?????_);_(@_)"/>
  </numFmts>
  <fonts count="1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
      <sz val="11"/>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0" tint="-4.9989318521683403E-2"/>
        <bgColor theme="8" tint="0.59999389629810485"/>
      </patternFill>
    </fill>
    <fill>
      <patternFill patternType="solid">
        <fgColor theme="5" tint="0.59999389629810485"/>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alignment vertical="top"/>
      <protection locked="0"/>
    </xf>
  </cellStyleXfs>
  <cellXfs count="116">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7"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7"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6" fontId="0" fillId="0" borderId="1" xfId="0" applyNumberFormat="1"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10" fillId="0" borderId="5" xfId="0" applyFont="1" applyBorder="1"/>
    <xf numFmtId="0" fontId="0" fillId="0" borderId="5" xfId="0" applyBorder="1"/>
    <xf numFmtId="3" fontId="0" fillId="0" borderId="0" xfId="0" applyNumberFormat="1" applyFill="1" applyBorder="1" applyProtection="1">
      <protection locked="0"/>
    </xf>
    <xf numFmtId="0" fontId="8" fillId="0" borderId="1" xfId="4" applyBorder="1" applyAlignment="1" applyProtection="1">
      <alignment horizontal="right" vertical="top" wrapText="1"/>
    </xf>
    <xf numFmtId="0" fontId="2" fillId="9" borderId="1" xfId="0" applyFont="1" applyFill="1" applyBorder="1" applyAlignment="1">
      <alignment horizontal="center" wrapText="1"/>
    </xf>
    <xf numFmtId="0" fontId="2" fillId="9" borderId="4" xfId="0" applyNumberFormat="1" applyFont="1" applyFill="1" applyBorder="1" applyAlignment="1">
      <alignment horizontal="center" wrapText="1"/>
    </xf>
    <xf numFmtId="0" fontId="2" fillId="9" borderId="6" xfId="0" applyNumberFormat="1" applyFont="1" applyFill="1" applyBorder="1" applyAlignment="1">
      <alignment horizontal="center" wrapText="1"/>
    </xf>
    <xf numFmtId="0" fontId="2" fillId="9" borderId="2" xfId="0" applyFont="1" applyFill="1" applyBorder="1" applyAlignment="1">
      <alignment horizontal="center" wrapText="1"/>
    </xf>
    <xf numFmtId="0" fontId="0" fillId="0" borderId="1" xfId="0" applyBorder="1" applyAlignment="1">
      <alignment horizontal="right" vertical="top"/>
    </xf>
    <xf numFmtId="0" fontId="0" fillId="2" borderId="1" xfId="0" applyFill="1" applyBorder="1" applyAlignment="1" applyProtection="1">
      <alignment horizontal="right"/>
      <protection locked="0"/>
    </xf>
    <xf numFmtId="8" fontId="0" fillId="0" borderId="0" xfId="0" applyNumberFormat="1"/>
    <xf numFmtId="0" fontId="6" fillId="0" borderId="0" xfId="0" applyFont="1" applyFill="1" applyBorder="1"/>
    <xf numFmtId="3" fontId="6" fillId="0" borderId="0" xfId="0" applyNumberFormat="1" applyFont="1" applyFill="1" applyBorder="1" applyProtection="1">
      <protection locked="0"/>
    </xf>
    <xf numFmtId="3" fontId="6" fillId="0" borderId="1" xfId="0" applyNumberFormat="1" applyFont="1" applyFill="1" applyBorder="1" applyProtection="1">
      <protection locked="0"/>
    </xf>
    <xf numFmtId="0" fontId="2" fillId="3" borderId="8" xfId="0" applyFont="1" applyFill="1" applyBorder="1"/>
    <xf numFmtId="0" fontId="0" fillId="0" borderId="0" xfId="0" applyNumberFormat="1" applyFill="1" applyBorder="1" applyProtection="1">
      <protection locked="0"/>
    </xf>
    <xf numFmtId="0" fontId="0" fillId="13" borderId="1" xfId="0" applyFill="1" applyBorder="1"/>
    <xf numFmtId="3" fontId="0" fillId="13" borderId="1" xfId="0" applyNumberFormat="1" applyFill="1" applyBorder="1" applyProtection="1">
      <protection locked="0"/>
    </xf>
    <xf numFmtId="0" fontId="2" fillId="9" borderId="8" xfId="0" applyFont="1" applyFill="1" applyBorder="1" applyAlignment="1">
      <alignment horizontal="left"/>
    </xf>
    <xf numFmtId="10" fontId="0" fillId="11" borderId="1" xfId="3" applyNumberFormat="1" applyFont="1" applyFill="1" applyBorder="1"/>
    <xf numFmtId="0" fontId="2" fillId="9" borderId="1" xfId="0" applyFont="1" applyFill="1" applyBorder="1" applyAlignment="1"/>
    <xf numFmtId="0" fontId="11" fillId="0" borderId="1" xfId="0" applyFont="1" applyFill="1" applyBorder="1" applyAlignment="1"/>
    <xf numFmtId="10" fontId="2" fillId="9" borderId="1" xfId="3" applyNumberFormat="1" applyFont="1" applyFill="1" applyBorder="1" applyAlignment="1">
      <alignment horizontal="center"/>
    </xf>
    <xf numFmtId="10" fontId="0" fillId="11" borderId="1" xfId="3" applyNumberFormat="1" applyFont="1" applyFill="1" applyBorder="1" applyAlignment="1">
      <alignment horizontal="center"/>
    </xf>
    <xf numFmtId="10" fontId="0" fillId="6" borderId="1" xfId="3" applyNumberFormat="1" applyFont="1" applyFill="1" applyBorder="1" applyAlignment="1">
      <alignment horizontal="center"/>
    </xf>
    <xf numFmtId="3" fontId="0" fillId="6" borderId="1" xfId="0" applyNumberFormat="1" applyFont="1" applyFill="1" applyBorder="1" applyAlignment="1" applyProtection="1">
      <alignment horizontal="center"/>
    </xf>
    <xf numFmtId="0" fontId="0" fillId="14" borderId="1" xfId="0" applyFont="1" applyFill="1" applyBorder="1" applyAlignment="1">
      <alignment horizontal="center"/>
    </xf>
    <xf numFmtId="10" fontId="0" fillId="14" borderId="1" xfId="3" applyNumberFormat="1" applyFont="1" applyFill="1" applyBorder="1" applyAlignment="1">
      <alignment horizontal="center"/>
    </xf>
    <xf numFmtId="0" fontId="0" fillId="0" borderId="1" xfId="0" applyBorder="1"/>
    <xf numFmtId="43" fontId="0" fillId="0" borderId="1" xfId="1" applyFont="1" applyBorder="1"/>
    <xf numFmtId="168" fontId="0" fillId="0" borderId="1" xfId="1" applyNumberFormat="1" applyFont="1" applyBorder="1"/>
    <xf numFmtId="44" fontId="0" fillId="0" borderId="1" xfId="2" applyFont="1" applyBorder="1"/>
    <xf numFmtId="44" fontId="0" fillId="15" borderId="1" xfId="2" applyFont="1" applyFill="1" applyBorder="1"/>
    <xf numFmtId="6" fontId="0" fillId="0" borderId="1" xfId="0" applyNumberFormat="1" applyBorder="1"/>
    <xf numFmtId="2" fontId="0" fillId="0" borderId="0" xfId="0" applyNumberFormat="1" applyFill="1" applyBorder="1"/>
    <xf numFmtId="0" fontId="11" fillId="0" borderId="0" xfId="0" applyFont="1" applyFill="1" applyBorder="1" applyAlignment="1"/>
    <xf numFmtId="169" fontId="0" fillId="0" borderId="1" xfId="0" applyNumberFormat="1" applyBorder="1" applyAlignment="1">
      <alignment vertical="top"/>
    </xf>
    <xf numFmtId="43" fontId="0" fillId="0" borderId="0" xfId="0" applyNumberFormat="1"/>
    <xf numFmtId="170" fontId="0" fillId="0" borderId="0" xfId="0" applyNumberFormat="1"/>
    <xf numFmtId="168" fontId="0" fillId="0" borderId="0" xfId="0" applyNumberFormat="1"/>
    <xf numFmtId="0" fontId="0" fillId="0" borderId="0" xfId="0" applyFill="1"/>
    <xf numFmtId="0" fontId="12" fillId="0" borderId="0" xfId="0" applyFont="1"/>
    <xf numFmtId="0" fontId="8" fillId="0" borderId="0" xfId="4" applyAlignment="1" applyProtection="1"/>
    <xf numFmtId="0" fontId="0" fillId="0" borderId="0" xfId="0"/>
    <xf numFmtId="0" fontId="2" fillId="9" borderId="1" xfId="0" applyFont="1" applyFill="1" applyBorder="1" applyAlignment="1">
      <alignment horizontal="center" wrapText="1"/>
    </xf>
    <xf numFmtId="168" fontId="0" fillId="0" borderId="1" xfId="1" applyNumberFormat="1" applyFont="1" applyBorder="1"/>
    <xf numFmtId="0" fontId="0" fillId="0" borderId="0" xfId="0" applyFill="1" applyBorder="1" applyAlignment="1">
      <alignment vertical="top"/>
    </xf>
    <xf numFmtId="0" fontId="0" fillId="0" borderId="0" xfId="0" applyBorder="1" applyAlignment="1">
      <alignment horizontal="right" vertical="top"/>
    </xf>
    <xf numFmtId="164" fontId="0" fillId="0" borderId="0" xfId="0" applyNumberFormat="1"/>
    <xf numFmtId="0" fontId="3" fillId="0" borderId="1" xfId="0" applyFont="1" applyBorder="1"/>
    <xf numFmtId="0" fontId="3" fillId="10" borderId="1" xfId="0" applyFont="1" applyFill="1" applyBorder="1" applyAlignment="1">
      <alignment horizontal="center"/>
    </xf>
    <xf numFmtId="0" fontId="0" fillId="0" borderId="1" xfId="0" applyBorder="1" applyAlignment="1">
      <alignment horizontal="center"/>
    </xf>
    <xf numFmtId="0" fontId="0" fillId="0" borderId="1" xfId="0" applyFill="1" applyBorder="1"/>
    <xf numFmtId="0" fontId="0" fillId="16" borderId="1" xfId="0" applyFill="1" applyBorder="1"/>
    <xf numFmtId="0" fontId="0" fillId="16" borderId="1" xfId="0" applyFill="1" applyBorder="1" applyProtection="1">
      <protection locked="0"/>
    </xf>
    <xf numFmtId="0" fontId="0" fillId="16" borderId="1" xfId="0" applyFill="1" applyBorder="1" applyProtection="1"/>
    <xf numFmtId="0" fontId="0" fillId="0" borderId="0" xfId="0" applyProtection="1">
      <protection locked="0"/>
    </xf>
    <xf numFmtId="0" fontId="0" fillId="2" borderId="1" xfId="0" applyFill="1" applyBorder="1" applyAlignment="1" applyProtection="1">
      <alignment wrapText="1"/>
      <protection locked="0"/>
    </xf>
    <xf numFmtId="0" fontId="0" fillId="13" borderId="1" xfId="0" applyFill="1" applyBorder="1" applyProtection="1">
      <protection locked="0"/>
    </xf>
    <xf numFmtId="0" fontId="0" fillId="4" borderId="1" xfId="0" applyFill="1" applyBorder="1" applyProtection="1">
      <protection locked="0"/>
    </xf>
    <xf numFmtId="164"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9" fillId="3" borderId="2" xfId="0" applyFont="1" applyFill="1" applyBorder="1" applyAlignment="1">
      <alignment horizontal="center"/>
    </xf>
    <xf numFmtId="0" fontId="9" fillId="3" borderId="3" xfId="0" applyFont="1" applyFill="1" applyBorder="1" applyAlignment="1">
      <alignment horizontal="center"/>
    </xf>
    <xf numFmtId="0" fontId="0" fillId="0" borderId="7" xfId="0" applyBorder="1" applyAlignment="1">
      <alignment horizontal="center" wrapText="1"/>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131884</xdr:colOff>
      <xdr:row>0</xdr:row>
      <xdr:rowOff>117231</xdr:rowOff>
    </xdr:from>
    <xdr:to>
      <xdr:col>8</xdr:col>
      <xdr:colOff>366346</xdr:colOff>
      <xdr:row>33</xdr:row>
      <xdr:rowOff>153865</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131884" y="117231"/>
          <a:ext cx="8828943" cy="632313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gn="l" rtl="0">
            <a:lnSpc>
              <a:spcPct val="150000"/>
            </a:lnSpc>
            <a:defRPr sz="1000"/>
          </a:pPr>
          <a:r>
            <a:rPr lang="en-US" sz="1100" b="1" i="0" u="none" strike="noStrike" baseline="0">
              <a:solidFill>
                <a:schemeClr val="bg1"/>
              </a:solidFill>
              <a:latin typeface="Calibri"/>
            </a:rPr>
            <a:t>Instructions: </a:t>
          </a:r>
          <a:endParaRPr lang="en-US" sz="1100" b="0" i="0" u="none" strike="noStrike" baseline="0">
            <a:solidFill>
              <a:schemeClr val="bg1"/>
            </a:solidFill>
            <a:latin typeface="Times New Roman"/>
            <a:cs typeface="Times New Roman"/>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a:t>
          </a:r>
        </a:p>
        <a:p>
          <a:pPr>
            <a:lnSpc>
              <a:spcPct val="150000"/>
            </a:lnSpc>
          </a:pP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Please click the drop-down arrow on cell B13 to select the year Open to Traffic</a:t>
          </a:r>
          <a:endParaRPr lang="en-US" sz="11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Type of Improvement: Please click the drop-down arrow  on cell B14 to select the type of improvement proposed</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For active transportation projects please click the drop-down arrow  on cell B15 to select the facility type of the roadway to which the proposed project provides an alternative transportation choice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(mph): Please enter the average traffic speed of the roadway on a typical weekday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(Years): Service life of project will be populated based on the intersection improvement selected in cell B14 on the Inputs &amp; Outputs tab</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Number of New Daily Users: Please enter estimated number of new daily users in year Open to Traffic in cell B20</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One-Way Trip Length in miles: Please provide average one-way trip length in miles in cell B21</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2018 Peak Period Traffic Volume:</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enter the peak period volume data (6AM – 9AM + 3PM – 7PM) in cell B24 form sponsor collected traffic count data or may request 2018 HGAC’s regional model peak period traffic volumes</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2025 Peak Period Traffic Volume:</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traffic volumes to be entered in cell B25</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2045 Peak Period Traffic Volume:</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2045 HGAC’s regional model peak period volumes to be entered in cell B26</a:t>
          </a:r>
        </a:p>
        <a:p>
          <a:pPr>
            <a:lnSpc>
              <a:spcPct val="150000"/>
            </a:lnSpc>
          </a:pPr>
          <a:r>
            <a:rPr lang="en-US" sz="1100">
              <a:solidFill>
                <a:schemeClr val="bg1"/>
              </a:solidFill>
              <a:effectLst/>
              <a:latin typeface="+mn-lt"/>
              <a:ea typeface="+mn-ea"/>
              <a:cs typeface="+mn-cs"/>
            </a:rPr>
            <a:t>2. Results will be populated in "red" shaded section ("Benefit Results")</a:t>
          </a: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219076</xdr:colOff>
      <xdr:row>15</xdr:row>
      <xdr:rowOff>19051</xdr:rowOff>
    </xdr:from>
    <xdr:to>
      <xdr:col>2</xdr:col>
      <xdr:colOff>1114425</xdr:colOff>
      <xdr:row>15</xdr:row>
      <xdr:rowOff>933451</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19076" y="2114551"/>
          <a:ext cx="5286374"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at:https://www.transportation.gov/sites/dot.gov/files/docs/mission/office-policy/transportation-policy/284031/benefit-cost-analysis-guidance-2018_0.pdf</a:t>
          </a:r>
          <a:endParaRPr lang="en-US" sz="1100" baseline="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h-gac.com/Transportation/Staff/Vishu/Vishu_T/Vishu_Working/2045%20RTP/Call%20for%20projects/TAC-07182018/Final%20BCA%20Tempaltes/Safety%20Benefits/Transit-bikeped%20-%20Safety%20Benefits%20-%20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ecandis\Desktop\Template%20-%20Safety%20Benefits%20Revision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Statistical Life"/>
      <sheetName val="CRASH RATES"/>
      <sheetName val="CRF Lookup Table"/>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RASH"/>
      <sheetName val="Calculations"/>
      <sheetName val="Assumed Values"/>
      <sheetName val="Value of Travel Time"/>
      <sheetName val="Value of Statistical Life"/>
      <sheetName val="Value of Emissions"/>
      <sheetName val="GDP Deflators"/>
      <sheetName val="CRASH SUM"/>
    </sheetNames>
    <sheetDataSet>
      <sheetData sheetId="0" refreshError="1"/>
      <sheetData sheetId="1" refreshError="1"/>
      <sheetData sheetId="2" refreshError="1"/>
      <sheetData sheetId="3" refreshError="1"/>
      <sheetData sheetId="4" refreshError="1"/>
      <sheetData sheetId="5">
        <row r="4">
          <cell r="S4">
            <v>0</v>
          </cell>
        </row>
        <row r="5">
          <cell r="S5" t="e">
            <v>#DIV/0!</v>
          </cell>
        </row>
        <row r="6">
          <cell r="S6" t="e">
            <v>#DIV/0!</v>
          </cell>
        </row>
        <row r="7">
          <cell r="S7" t="e">
            <v>#DIV/0!</v>
          </cell>
        </row>
        <row r="8">
          <cell r="S8" t="e">
            <v>#DIV/0!</v>
          </cell>
        </row>
        <row r="9">
          <cell r="S9" t="e">
            <v>#DIV/0!</v>
          </cell>
        </row>
        <row r="10">
          <cell r="S10" t="e">
            <v>#DIV/0!</v>
          </cell>
        </row>
        <row r="11">
          <cell r="S11" t="e">
            <v>#DIV/0!</v>
          </cell>
        </row>
        <row r="12">
          <cell r="S12" t="e">
            <v>#DIV/0!</v>
          </cell>
        </row>
        <row r="13">
          <cell r="S13" t="e">
            <v>#DIV/0!</v>
          </cell>
        </row>
        <row r="14">
          <cell r="S14" t="e">
            <v>#DIV/0!</v>
          </cell>
        </row>
        <row r="15">
          <cell r="S15" t="e">
            <v>#DIV/0!</v>
          </cell>
        </row>
        <row r="16">
          <cell r="S16" t="e">
            <v>#DIV/0!</v>
          </cell>
        </row>
        <row r="17">
          <cell r="S17" t="e">
            <v>#DIV/0!</v>
          </cell>
        </row>
        <row r="18">
          <cell r="S18" t="e">
            <v>#DIV/0!</v>
          </cell>
        </row>
        <row r="19">
          <cell r="S19" t="e">
            <v>#DIV/0!</v>
          </cell>
        </row>
        <row r="20">
          <cell r="S20" t="e">
            <v>#DIV/0!</v>
          </cell>
        </row>
        <row r="21">
          <cell r="S21" t="e">
            <v>#DIV/0!</v>
          </cell>
        </row>
        <row r="22">
          <cell r="S22" t="e">
            <v>#DIV/0!</v>
          </cell>
        </row>
        <row r="23">
          <cell r="S23" t="e">
            <v>#DIV/0!</v>
          </cell>
        </row>
        <row r="24">
          <cell r="S24" t="e">
            <v>#DIV/0!</v>
          </cell>
        </row>
        <row r="25">
          <cell r="S25" t="e">
            <v>#DIV/0!</v>
          </cell>
        </row>
        <row r="26">
          <cell r="S26" t="e">
            <v>#DIV/0!</v>
          </cell>
        </row>
        <row r="27">
          <cell r="S27" t="e">
            <v>#DIV/0!</v>
          </cell>
        </row>
        <row r="28">
          <cell r="S28" t="e">
            <v>#DIV/0!</v>
          </cell>
        </row>
        <row r="29">
          <cell r="S29" t="e">
            <v>#DIV/0!</v>
          </cell>
        </row>
        <row r="30">
          <cell r="S30" t="e">
            <v>#DIV/0!</v>
          </cell>
        </row>
        <row r="31">
          <cell r="S31" t="e">
            <v>#DIV/0!</v>
          </cell>
        </row>
        <row r="32">
          <cell r="S32" t="e">
            <v>#DIV/0!</v>
          </cell>
        </row>
        <row r="33">
          <cell r="S33" t="e">
            <v>#DIV/0!</v>
          </cell>
        </row>
        <row r="34">
          <cell r="S34" t="e">
            <v>#DIV/0!</v>
          </cell>
        </row>
        <row r="35">
          <cell r="S35" t="e">
            <v>#DIV/0!</v>
          </cell>
        </row>
        <row r="36">
          <cell r="S36" t="e">
            <v>#DIV/0!</v>
          </cell>
        </row>
      </sheetData>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transportation.gov/sites/dot.gov/files/docs/mission/office-policy/transportation-policy/284031/benefit-cost-analysis-guidance-2018_0.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30" zoomScaleNormal="130" workbookViewId="0">
      <selection activeCell="M10" sqref="M10"/>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tint="4.9989318521683403E-2"/>
  </sheetPr>
  <dimension ref="C3:D13"/>
  <sheetViews>
    <sheetView workbookViewId="0">
      <selection activeCell="P30" sqref="P30"/>
    </sheetView>
  </sheetViews>
  <sheetFormatPr defaultRowHeight="15" x14ac:dyDescent="0.25"/>
  <cols>
    <col min="3" max="3" width="34.7109375" bestFit="1" customWidth="1"/>
    <col min="4" max="4" width="11.140625" bestFit="1" customWidth="1"/>
  </cols>
  <sheetData>
    <row r="3" spans="3:4" x14ac:dyDescent="0.25">
      <c r="C3" s="32" t="s">
        <v>87</v>
      </c>
      <c r="D3" s="98" t="s">
        <v>122</v>
      </c>
    </row>
    <row r="4" spans="3:4" x14ac:dyDescent="0.25">
      <c r="C4" s="76" t="s">
        <v>123</v>
      </c>
      <c r="D4" s="99">
        <v>12</v>
      </c>
    </row>
    <row r="5" spans="3:4" x14ac:dyDescent="0.25">
      <c r="C5" s="76" t="s">
        <v>124</v>
      </c>
      <c r="D5" s="99">
        <v>12</v>
      </c>
    </row>
    <row r="6" spans="3:4" x14ac:dyDescent="0.25">
      <c r="C6" s="76" t="s">
        <v>125</v>
      </c>
      <c r="D6" s="99">
        <v>12</v>
      </c>
    </row>
    <row r="7" spans="3:4" x14ac:dyDescent="0.25">
      <c r="C7" s="100" t="s">
        <v>126</v>
      </c>
      <c r="D7" s="99">
        <v>12</v>
      </c>
    </row>
    <row r="8" spans="3:4" x14ac:dyDescent="0.25">
      <c r="C8" s="100" t="s">
        <v>127</v>
      </c>
      <c r="D8" s="99">
        <v>12</v>
      </c>
    </row>
    <row r="9" spans="3:4" x14ac:dyDescent="0.25">
      <c r="C9" s="76" t="s">
        <v>128</v>
      </c>
      <c r="D9" s="99">
        <v>12</v>
      </c>
    </row>
    <row r="10" spans="3:4" x14ac:dyDescent="0.25">
      <c r="C10" s="76" t="s">
        <v>129</v>
      </c>
      <c r="D10" s="99">
        <v>12</v>
      </c>
    </row>
    <row r="13" spans="3:4" x14ac:dyDescent="0.25">
      <c r="C13" t="s">
        <v>137</v>
      </c>
    </row>
  </sheetData>
  <sheetProtection algorithmName="SHA-512" hashValue="Da9HoiLrAMX+JoAP0iZnWnsRiAavzYQ2k7OsuvZSM9jKbaxi7qefPSnimDxMGjSi0p9+CSjaG8KvjLzyTOT6ZA==" saltValue="0ex53V8unJLKTdgAPFSgT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47</v>
      </c>
    </row>
    <row r="4" spans="1:10" x14ac:dyDescent="0.25">
      <c r="A4" s="5" t="s">
        <v>8</v>
      </c>
      <c r="B4" s="6"/>
      <c r="D4" s="5" t="s">
        <v>44</v>
      </c>
      <c r="E4" s="45">
        <v>2015</v>
      </c>
      <c r="G4" s="12">
        <f>E4</f>
        <v>2015</v>
      </c>
      <c r="H4" s="12">
        <f>IF(G4&lt;2041,1,0)</f>
        <v>1</v>
      </c>
      <c r="I4" s="21">
        <f>IF($G4&lt;($G$4+$E$5),$E$17,0)*H4</f>
        <v>0</v>
      </c>
      <c r="J4" s="34" t="e">
        <f>I4*$B$18*$B$19/10^3</f>
        <v>#REF!</v>
      </c>
    </row>
    <row r="5" spans="1:10" x14ac:dyDescent="0.25">
      <c r="A5" s="5" t="s">
        <v>9</v>
      </c>
      <c r="B5" s="6"/>
      <c r="D5" s="5" t="s">
        <v>34</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12" t="s">
        <v>32</v>
      </c>
      <c r="E6" s="113"/>
      <c r="G6" s="12">
        <f t="shared" si="0"/>
        <v>2017</v>
      </c>
      <c r="H6" s="12">
        <f t="shared" si="1"/>
        <v>1</v>
      </c>
      <c r="I6" s="21">
        <f t="shared" si="2"/>
        <v>0</v>
      </c>
      <c r="J6" s="34" t="e">
        <f t="shared" si="3"/>
        <v>#REF!</v>
      </c>
    </row>
    <row r="7" spans="1:10" x14ac:dyDescent="0.25">
      <c r="A7" s="5" t="s">
        <v>45</v>
      </c>
      <c r="B7" s="23"/>
      <c r="D7" s="5" t="s">
        <v>42</v>
      </c>
      <c r="E7" s="9"/>
      <c r="G7" s="13">
        <f t="shared" si="0"/>
        <v>2018</v>
      </c>
      <c r="H7" s="13">
        <f t="shared" si="1"/>
        <v>1</v>
      </c>
      <c r="I7" s="21">
        <f t="shared" si="2"/>
        <v>0</v>
      </c>
      <c r="J7" s="41" t="e">
        <f t="shared" si="3"/>
        <v>#REF!</v>
      </c>
    </row>
    <row r="8" spans="1:10" x14ac:dyDescent="0.25">
      <c r="A8" s="22" t="s">
        <v>46</v>
      </c>
      <c r="B8" s="23"/>
      <c r="D8" s="5" t="s">
        <v>40</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43</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41</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30</v>
      </c>
      <c r="E3" s="8" t="s">
        <v>12</v>
      </c>
      <c r="G3" s="14" t="s">
        <v>16</v>
      </c>
      <c r="H3" s="14" t="s">
        <v>39</v>
      </c>
      <c r="I3" s="14" t="s">
        <v>48</v>
      </c>
      <c r="J3" s="14" t="s">
        <v>38</v>
      </c>
      <c r="K3" s="14" t="s">
        <v>49</v>
      </c>
    </row>
    <row r="4" spans="1:11" x14ac:dyDescent="0.25">
      <c r="A4" s="5" t="s">
        <v>8</v>
      </c>
      <c r="B4" s="6"/>
      <c r="D4" s="5" t="s">
        <v>44</v>
      </c>
      <c r="E4" s="45">
        <v>2015</v>
      </c>
      <c r="G4" s="12">
        <f>E4</f>
        <v>2015</v>
      </c>
      <c r="H4" s="37">
        <f t="shared" ref="H4:H24" si="0">IF($G4&lt;($G$4+$E$5),$E$17,0)</f>
        <v>0</v>
      </c>
      <c r="I4" s="36">
        <f>H4*$B$20/10^3</f>
        <v>0</v>
      </c>
      <c r="J4" s="37">
        <f t="shared" ref="J4:J24" si="1">IF($G4&lt;($G$4+$E$5),$E$18,0)</f>
        <v>0</v>
      </c>
      <c r="K4" s="36">
        <f>J4*$B$21/10^3</f>
        <v>0</v>
      </c>
    </row>
    <row r="5" spans="1:11" x14ac:dyDescent="0.25">
      <c r="A5" s="5" t="s">
        <v>9</v>
      </c>
      <c r="B5" s="6"/>
      <c r="D5" s="5" t="s">
        <v>34</v>
      </c>
      <c r="E5" s="9">
        <v>10</v>
      </c>
      <c r="G5" s="13">
        <f t="shared" ref="G5:G29" si="2">G4+1</f>
        <v>2016</v>
      </c>
      <c r="H5" s="37">
        <f t="shared" si="0"/>
        <v>0</v>
      </c>
      <c r="I5" s="38">
        <f t="shared" ref="I5:I24" si="3">H5*$B$20/10^3</f>
        <v>0</v>
      </c>
      <c r="J5" s="37">
        <f t="shared" si="1"/>
        <v>0</v>
      </c>
      <c r="K5" s="38">
        <f t="shared" ref="K5:K24" si="4">J5*$B$21/10^3</f>
        <v>0</v>
      </c>
    </row>
    <row r="6" spans="1:11" x14ac:dyDescent="0.25">
      <c r="A6" s="5" t="s">
        <v>35</v>
      </c>
      <c r="B6" s="6">
        <v>2</v>
      </c>
      <c r="D6" s="112" t="s">
        <v>32</v>
      </c>
      <c r="E6" s="113"/>
      <c r="G6" s="12">
        <f t="shared" si="2"/>
        <v>2017</v>
      </c>
      <c r="H6" s="37">
        <f t="shared" si="0"/>
        <v>0</v>
      </c>
      <c r="I6" s="36">
        <f t="shared" si="3"/>
        <v>0</v>
      </c>
      <c r="J6" s="37">
        <f t="shared" si="1"/>
        <v>0</v>
      </c>
      <c r="K6" s="36">
        <f t="shared" si="4"/>
        <v>0</v>
      </c>
    </row>
    <row r="7" spans="1:11" x14ac:dyDescent="0.25">
      <c r="A7" s="5" t="s">
        <v>45</v>
      </c>
      <c r="B7" s="23"/>
      <c r="D7" s="5" t="s">
        <v>31</v>
      </c>
      <c r="E7" s="9"/>
      <c r="G7" s="13">
        <f t="shared" si="2"/>
        <v>2018</v>
      </c>
      <c r="H7" s="37">
        <f t="shared" si="0"/>
        <v>0</v>
      </c>
      <c r="I7" s="38">
        <f t="shared" si="3"/>
        <v>0</v>
      </c>
      <c r="J7" s="37">
        <f t="shared" si="1"/>
        <v>0</v>
      </c>
      <c r="K7" s="38">
        <f t="shared" si="4"/>
        <v>0</v>
      </c>
    </row>
    <row r="8" spans="1:11" x14ac:dyDescent="0.25">
      <c r="A8" s="22" t="s">
        <v>46</v>
      </c>
      <c r="B8" s="23"/>
      <c r="D8" s="112" t="s">
        <v>33</v>
      </c>
      <c r="E8" s="113"/>
      <c r="G8" s="12">
        <f t="shared" si="2"/>
        <v>2019</v>
      </c>
      <c r="H8" s="37">
        <f t="shared" si="0"/>
        <v>0</v>
      </c>
      <c r="I8" s="36">
        <f t="shared" si="3"/>
        <v>0</v>
      </c>
      <c r="J8" s="37">
        <f t="shared" si="1"/>
        <v>0</v>
      </c>
      <c r="K8" s="36">
        <f t="shared" si="4"/>
        <v>0</v>
      </c>
    </row>
    <row r="9" spans="1:11" x14ac:dyDescent="0.25">
      <c r="D9" s="5" t="s">
        <v>36</v>
      </c>
      <c r="E9" s="9"/>
      <c r="G9" s="13">
        <f t="shared" si="2"/>
        <v>2020</v>
      </c>
      <c r="H9" s="37">
        <f t="shared" si="0"/>
        <v>0</v>
      </c>
      <c r="I9" s="38">
        <f t="shared" si="3"/>
        <v>0</v>
      </c>
      <c r="J9" s="37">
        <f t="shared" si="1"/>
        <v>0</v>
      </c>
      <c r="K9" s="38">
        <f t="shared" si="4"/>
        <v>0</v>
      </c>
    </row>
    <row r="10" spans="1:11" x14ac:dyDescent="0.25">
      <c r="A10" s="11" t="s">
        <v>20</v>
      </c>
      <c r="D10" s="5" t="s">
        <v>37</v>
      </c>
      <c r="E10" s="9"/>
      <c r="G10" s="12">
        <f t="shared" si="2"/>
        <v>2021</v>
      </c>
      <c r="H10" s="37">
        <f t="shared" si="0"/>
        <v>0</v>
      </c>
      <c r="I10" s="36">
        <f t="shared" si="3"/>
        <v>0</v>
      </c>
      <c r="J10" s="37">
        <f t="shared" si="1"/>
        <v>0</v>
      </c>
      <c r="K10" s="36">
        <f t="shared" si="4"/>
        <v>0</v>
      </c>
    </row>
    <row r="11" spans="1:11" x14ac:dyDescent="0.25">
      <c r="A11" s="10" t="s">
        <v>50</v>
      </c>
      <c r="B11" s="39">
        <f>(NPV($B$17,K4:K24)+NPV($B$17,I4:I24))/(1+$B$17)^2</f>
        <v>0</v>
      </c>
      <c r="G11" s="13">
        <f t="shared" si="2"/>
        <v>2022</v>
      </c>
      <c r="H11" s="37">
        <f t="shared" si="0"/>
        <v>0</v>
      </c>
      <c r="I11" s="38">
        <f t="shared" si="3"/>
        <v>0</v>
      </c>
      <c r="J11" s="37">
        <f t="shared" si="1"/>
        <v>0</v>
      </c>
      <c r="K11" s="38">
        <f t="shared" si="4"/>
        <v>0</v>
      </c>
    </row>
    <row r="12" spans="1:11" x14ac:dyDescent="0.25">
      <c r="A12" s="10" t="s">
        <v>19</v>
      </c>
      <c r="B12" s="40" t="e">
        <f>B11/B7</f>
        <v>#DIV/0!</v>
      </c>
      <c r="G12" s="12">
        <f t="shared" si="2"/>
        <v>2023</v>
      </c>
      <c r="H12" s="37">
        <f t="shared" si="0"/>
        <v>0</v>
      </c>
      <c r="I12" s="36">
        <f t="shared" si="3"/>
        <v>0</v>
      </c>
      <c r="J12" s="37">
        <f t="shared" si="1"/>
        <v>0</v>
      </c>
      <c r="K12" s="36">
        <f t="shared" si="4"/>
        <v>0</v>
      </c>
    </row>
    <row r="13" spans="1:11" x14ac:dyDescent="0.25">
      <c r="A13" s="10" t="s">
        <v>51</v>
      </c>
      <c r="B13" s="39" t="e">
        <f>B7*(B17/(1-(1+B17)^(-E5))/(SUM(H4:H29)+SUM(J4:J29)))</f>
        <v>#DIV/0!</v>
      </c>
      <c r="G13" s="13">
        <f t="shared" si="2"/>
        <v>2024</v>
      </c>
      <c r="H13" s="37">
        <f t="shared" si="0"/>
        <v>0</v>
      </c>
      <c r="I13" s="38">
        <f t="shared" si="3"/>
        <v>0</v>
      </c>
      <c r="J13" s="37">
        <f t="shared" si="1"/>
        <v>0</v>
      </c>
      <c r="K13" s="38">
        <f t="shared" si="4"/>
        <v>0</v>
      </c>
    </row>
    <row r="14" spans="1:11" x14ac:dyDescent="0.25">
      <c r="G14" s="12">
        <f>G13+1</f>
        <v>2025</v>
      </c>
      <c r="H14" s="37">
        <f t="shared" si="0"/>
        <v>0</v>
      </c>
      <c r="I14" s="36">
        <f t="shared" si="3"/>
        <v>0</v>
      </c>
      <c r="J14" s="37">
        <f t="shared" si="1"/>
        <v>0</v>
      </c>
      <c r="K14" s="36">
        <f t="shared" si="4"/>
        <v>0</v>
      </c>
    </row>
    <row r="15" spans="1:11" x14ac:dyDescent="0.25">
      <c r="A15" s="15" t="s">
        <v>4</v>
      </c>
      <c r="G15" s="13">
        <f t="shared" si="2"/>
        <v>2026</v>
      </c>
      <c r="H15" s="37">
        <f t="shared" si="0"/>
        <v>0</v>
      </c>
      <c r="I15" s="38">
        <f t="shared" si="3"/>
        <v>0</v>
      </c>
      <c r="J15" s="37">
        <f t="shared" si="1"/>
        <v>0</v>
      </c>
      <c r="K15" s="38">
        <f t="shared" si="4"/>
        <v>0</v>
      </c>
    </row>
    <row r="16" spans="1:11" x14ac:dyDescent="0.25">
      <c r="A16" s="16" t="s">
        <v>5</v>
      </c>
      <c r="B16" s="26">
        <v>2015</v>
      </c>
      <c r="D16" s="15" t="s">
        <v>17</v>
      </c>
      <c r="E16" s="24" t="s">
        <v>12</v>
      </c>
      <c r="G16" s="12">
        <f t="shared" si="2"/>
        <v>2027</v>
      </c>
      <c r="H16" s="37">
        <f t="shared" si="0"/>
        <v>0</v>
      </c>
      <c r="I16" s="36">
        <f t="shared" si="3"/>
        <v>0</v>
      </c>
      <c r="J16" s="37">
        <f t="shared" si="1"/>
        <v>0</v>
      </c>
      <c r="K16" s="36">
        <f t="shared" si="4"/>
        <v>0</v>
      </c>
    </row>
    <row r="17" spans="1:11" x14ac:dyDescent="0.25">
      <c r="A17" s="16" t="s">
        <v>6</v>
      </c>
      <c r="B17" s="17">
        <v>7.0000000000000007E-2</v>
      </c>
      <c r="D17" s="19" t="s">
        <v>36</v>
      </c>
      <c r="E17" s="33">
        <f>IF(E9,E9,$E$7*B18*$B$22/10^6)</f>
        <v>0</v>
      </c>
      <c r="G17" s="13">
        <f t="shared" si="2"/>
        <v>2028</v>
      </c>
      <c r="H17" s="37">
        <f t="shared" si="0"/>
        <v>0</v>
      </c>
      <c r="I17" s="38">
        <f t="shared" si="3"/>
        <v>0</v>
      </c>
      <c r="J17" s="37">
        <f t="shared" si="1"/>
        <v>0</v>
      </c>
      <c r="K17" s="38">
        <f t="shared" si="4"/>
        <v>0</v>
      </c>
    </row>
    <row r="18" spans="1:11" x14ac:dyDescent="0.25">
      <c r="A18" s="16" t="s">
        <v>28</v>
      </c>
      <c r="B18" s="43">
        <f>IF($B$6=2,'Assumed Values'!C7,0)</f>
        <v>1.13278999925E-2</v>
      </c>
      <c r="D18" s="19" t="s">
        <v>37</v>
      </c>
      <c r="E18" s="33">
        <f>IF(E10,E10,$E$7*B19*$B$22/10^6)</f>
        <v>0</v>
      </c>
      <c r="G18" s="12">
        <f t="shared" si="2"/>
        <v>2029</v>
      </c>
      <c r="H18" s="37">
        <f t="shared" si="0"/>
        <v>0</v>
      </c>
      <c r="I18" s="36">
        <f t="shared" si="3"/>
        <v>0</v>
      </c>
      <c r="J18" s="37">
        <f t="shared" si="1"/>
        <v>0</v>
      </c>
      <c r="K18" s="36">
        <f t="shared" si="4"/>
        <v>0</v>
      </c>
    </row>
    <row r="19" spans="1:11" x14ac:dyDescent="0.25">
      <c r="A19" s="16" t="s">
        <v>29</v>
      </c>
      <c r="B19" s="43">
        <f>IF($B$6=2,'Assumed Values'!C8,0)</f>
        <v>5.9708300977900003E-2</v>
      </c>
      <c r="G19" s="13">
        <f t="shared" si="2"/>
        <v>2030</v>
      </c>
      <c r="H19" s="37">
        <f t="shared" si="0"/>
        <v>0</v>
      </c>
      <c r="I19" s="38">
        <f t="shared" si="3"/>
        <v>0</v>
      </c>
      <c r="J19" s="37">
        <f t="shared" si="1"/>
        <v>0</v>
      </c>
      <c r="K19" s="38">
        <f t="shared" si="4"/>
        <v>0</v>
      </c>
    </row>
    <row r="20" spans="1:11" x14ac:dyDescent="0.25">
      <c r="A20" s="16" t="s">
        <v>52</v>
      </c>
      <c r="B20" s="35">
        <f>'Assumed Values'!C5</f>
        <v>1905</v>
      </c>
      <c r="G20" s="12">
        <f t="shared" si="2"/>
        <v>2031</v>
      </c>
      <c r="H20" s="37">
        <f t="shared" si="0"/>
        <v>0</v>
      </c>
      <c r="I20" s="36">
        <f t="shared" si="3"/>
        <v>0</v>
      </c>
      <c r="J20" s="37">
        <f t="shared" si="1"/>
        <v>0</v>
      </c>
      <c r="K20" s="36">
        <f t="shared" si="4"/>
        <v>0</v>
      </c>
    </row>
    <row r="21" spans="1:11" x14ac:dyDescent="0.25">
      <c r="A21" s="16" t="s">
        <v>53</v>
      </c>
      <c r="B21" s="35">
        <f>'Assumed Values'!C6</f>
        <v>7508</v>
      </c>
      <c r="G21" s="13">
        <f t="shared" si="2"/>
        <v>2032</v>
      </c>
      <c r="H21" s="37">
        <f t="shared" si="0"/>
        <v>0</v>
      </c>
      <c r="I21" s="38">
        <f t="shared" si="3"/>
        <v>0</v>
      </c>
      <c r="J21" s="37">
        <f t="shared" si="1"/>
        <v>0</v>
      </c>
      <c r="K21" s="38">
        <f t="shared" si="4"/>
        <v>0</v>
      </c>
    </row>
    <row r="22" spans="1:11" x14ac:dyDescent="0.25">
      <c r="A22" s="16" t="s">
        <v>18</v>
      </c>
      <c r="B22" s="16">
        <v>260</v>
      </c>
      <c r="G22" s="12">
        <f t="shared" si="2"/>
        <v>2033</v>
      </c>
      <c r="H22" s="37">
        <f t="shared" si="0"/>
        <v>0</v>
      </c>
      <c r="I22" s="36">
        <f t="shared" si="3"/>
        <v>0</v>
      </c>
      <c r="J22" s="37">
        <f t="shared" si="1"/>
        <v>0</v>
      </c>
      <c r="K22" s="36">
        <f t="shared" si="4"/>
        <v>0</v>
      </c>
    </row>
    <row r="23" spans="1:11" x14ac:dyDescent="0.25">
      <c r="G23" s="13">
        <f t="shared" si="2"/>
        <v>2034</v>
      </c>
      <c r="H23" s="37">
        <f t="shared" si="0"/>
        <v>0</v>
      </c>
      <c r="I23" s="38">
        <f t="shared" si="3"/>
        <v>0</v>
      </c>
      <c r="J23" s="37">
        <f t="shared" si="1"/>
        <v>0</v>
      </c>
      <c r="K23" s="38">
        <f t="shared" si="4"/>
        <v>0</v>
      </c>
    </row>
    <row r="24" spans="1:11" x14ac:dyDescent="0.25">
      <c r="G24" s="12">
        <f t="shared" si="2"/>
        <v>2035</v>
      </c>
      <c r="H24" s="37">
        <f t="shared" si="0"/>
        <v>0</v>
      </c>
      <c r="I24" s="36">
        <f t="shared" si="3"/>
        <v>0</v>
      </c>
      <c r="J24" s="37">
        <f t="shared" si="1"/>
        <v>0</v>
      </c>
      <c r="K24" s="36">
        <f t="shared" si="4"/>
        <v>0</v>
      </c>
    </row>
    <row r="25" spans="1:11" x14ac:dyDescent="0.25">
      <c r="G25" s="13">
        <f t="shared" si="2"/>
        <v>2036</v>
      </c>
      <c r="H25" s="37">
        <f t="shared" ref="H25:H28" si="5">IF($G25&lt;($G$4+$E$5),$E$17,0)</f>
        <v>0</v>
      </c>
      <c r="I25" s="38">
        <f t="shared" ref="I25:I29" si="6">H25*$B$20/10^3</f>
        <v>0</v>
      </c>
      <c r="J25" s="37">
        <f t="shared" ref="J25:J28" si="7">IF($G25&lt;($G$4+$E$5),$E$18,0)</f>
        <v>0</v>
      </c>
      <c r="K25" s="38">
        <f t="shared" ref="K25:K29" si="8">J25*$B$21/10^3</f>
        <v>0</v>
      </c>
    </row>
    <row r="26" spans="1:11" x14ac:dyDescent="0.25">
      <c r="G26" s="12">
        <f t="shared" si="2"/>
        <v>2037</v>
      </c>
      <c r="H26" s="37">
        <f t="shared" si="5"/>
        <v>0</v>
      </c>
      <c r="I26" s="36">
        <f t="shared" si="6"/>
        <v>0</v>
      </c>
      <c r="J26" s="37">
        <f t="shared" si="7"/>
        <v>0</v>
      </c>
      <c r="K26" s="36">
        <f t="shared" si="8"/>
        <v>0</v>
      </c>
    </row>
    <row r="27" spans="1:11" x14ac:dyDescent="0.25">
      <c r="G27" s="13">
        <f t="shared" si="2"/>
        <v>2038</v>
      </c>
      <c r="H27" s="37">
        <f t="shared" si="5"/>
        <v>0</v>
      </c>
      <c r="I27" s="38">
        <f t="shared" si="6"/>
        <v>0</v>
      </c>
      <c r="J27" s="37">
        <f t="shared" si="7"/>
        <v>0</v>
      </c>
      <c r="K27" s="38">
        <f t="shared" si="8"/>
        <v>0</v>
      </c>
    </row>
    <row r="28" spans="1:11" x14ac:dyDescent="0.25">
      <c r="G28" s="12">
        <f t="shared" si="2"/>
        <v>2039</v>
      </c>
      <c r="H28" s="37">
        <f t="shared" si="5"/>
        <v>0</v>
      </c>
      <c r="I28" s="36">
        <f t="shared" si="6"/>
        <v>0</v>
      </c>
      <c r="J28" s="37">
        <f t="shared" si="7"/>
        <v>0</v>
      </c>
      <c r="K28" s="36">
        <f t="shared" si="8"/>
        <v>0</v>
      </c>
    </row>
    <row r="29" spans="1:11" x14ac:dyDescent="0.25">
      <c r="G29" s="13">
        <f t="shared" si="2"/>
        <v>2040</v>
      </c>
      <c r="H29" s="37">
        <f>IF($G29&lt;($G$4+$E$5),$E$17,0)</f>
        <v>0</v>
      </c>
      <c r="I29" s="38">
        <f t="shared" si="6"/>
        <v>0</v>
      </c>
      <c r="J29" s="37">
        <f>IF($G29&lt;($G$4+$E$5),$E$18,0)</f>
        <v>0</v>
      </c>
      <c r="K29" s="38">
        <f t="shared" si="8"/>
        <v>0</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L56"/>
  <sheetViews>
    <sheetView tabSelected="1" topLeftCell="A2" zoomScale="115" zoomScaleNormal="115" workbookViewId="0">
      <selection activeCell="B21" sqref="B21"/>
    </sheetView>
  </sheetViews>
  <sheetFormatPr defaultRowHeight="15" x14ac:dyDescent="0.25"/>
  <cols>
    <col min="1" max="1" width="47" customWidth="1"/>
    <col min="2" max="2" width="20.5703125" customWidth="1"/>
    <col min="3" max="3" width="5.28515625" customWidth="1"/>
    <col min="4" max="4" width="5.85546875" customWidth="1"/>
    <col min="5" max="5" width="13.28515625" customWidth="1"/>
    <col min="6" max="6" width="4.5703125" customWidth="1"/>
  </cols>
  <sheetData>
    <row r="3" spans="1:5" ht="18.75" x14ac:dyDescent="0.3">
      <c r="A3" s="48" t="s">
        <v>58</v>
      </c>
      <c r="B3" s="49"/>
      <c r="C3" s="49"/>
      <c r="D3" s="49"/>
      <c r="E3" s="49"/>
    </row>
    <row r="5" spans="1:5" x14ac:dyDescent="0.25">
      <c r="A5" s="7" t="s">
        <v>3</v>
      </c>
      <c r="D5" s="6"/>
      <c r="E5" s="104" t="s">
        <v>130</v>
      </c>
    </row>
    <row r="6" spans="1:5" x14ac:dyDescent="0.25">
      <c r="A6" s="5" t="s">
        <v>8</v>
      </c>
      <c r="B6" s="6" t="s">
        <v>138</v>
      </c>
      <c r="D6" s="106"/>
      <c r="E6" s="104" t="s">
        <v>131</v>
      </c>
    </row>
    <row r="7" spans="1:5" x14ac:dyDescent="0.25">
      <c r="A7" s="5" t="s">
        <v>54</v>
      </c>
      <c r="B7" s="6" t="s">
        <v>139</v>
      </c>
      <c r="D7" s="102"/>
      <c r="E7" s="104" t="s">
        <v>132</v>
      </c>
    </row>
    <row r="8" spans="1:5" x14ac:dyDescent="0.25">
      <c r="A8" s="5" t="s">
        <v>55</v>
      </c>
      <c r="B8" s="6" t="s">
        <v>140</v>
      </c>
      <c r="D8" s="107"/>
      <c r="E8" s="104" t="s">
        <v>133</v>
      </c>
    </row>
    <row r="9" spans="1:5" x14ac:dyDescent="0.25">
      <c r="A9" s="5" t="s">
        <v>77</v>
      </c>
      <c r="B9" s="57" t="s">
        <v>73</v>
      </c>
    </row>
    <row r="10" spans="1:5" x14ac:dyDescent="0.25">
      <c r="B10" s="104"/>
      <c r="D10" s="59"/>
      <c r="E10" s="60"/>
    </row>
    <row r="11" spans="1:5" x14ac:dyDescent="0.25">
      <c r="B11" s="104"/>
      <c r="D11" s="27"/>
      <c r="E11" s="50"/>
    </row>
    <row r="12" spans="1:5" x14ac:dyDescent="0.25">
      <c r="A12" s="7" t="s">
        <v>85</v>
      </c>
      <c r="B12" s="104"/>
      <c r="D12" s="27"/>
      <c r="E12" s="50"/>
    </row>
    <row r="13" spans="1:5" x14ac:dyDescent="0.25">
      <c r="A13" s="5" t="s">
        <v>60</v>
      </c>
      <c r="B13" s="45">
        <v>2021</v>
      </c>
      <c r="D13" s="27"/>
      <c r="E13" s="50"/>
    </row>
    <row r="14" spans="1:5" x14ac:dyDescent="0.25">
      <c r="A14" s="5" t="s">
        <v>87</v>
      </c>
      <c r="B14" s="6" t="s">
        <v>128</v>
      </c>
      <c r="D14" s="27"/>
      <c r="E14" s="50"/>
    </row>
    <row r="15" spans="1:5" x14ac:dyDescent="0.25">
      <c r="A15" s="5" t="s">
        <v>79</v>
      </c>
      <c r="B15" s="57" t="s">
        <v>83</v>
      </c>
      <c r="D15" s="27"/>
      <c r="E15" s="50"/>
    </row>
    <row r="16" spans="1:5" x14ac:dyDescent="0.25">
      <c r="A16" s="5" t="s">
        <v>86</v>
      </c>
      <c r="B16" s="6">
        <v>45</v>
      </c>
      <c r="D16" s="27"/>
      <c r="E16" s="50"/>
    </row>
    <row r="17" spans="1:12" x14ac:dyDescent="0.25">
      <c r="A17" s="101" t="s">
        <v>99</v>
      </c>
      <c r="B17" s="103">
        <f>VLOOKUP(B14,'Service Life'!C4:D10,2,FALSE)</f>
        <v>12</v>
      </c>
      <c r="D17" s="27"/>
      <c r="E17" s="50"/>
    </row>
    <row r="18" spans="1:12" x14ac:dyDescent="0.25">
      <c r="D18" s="27"/>
      <c r="E18" s="50"/>
    </row>
    <row r="19" spans="1:12" x14ac:dyDescent="0.25">
      <c r="A19" s="62" t="s">
        <v>88</v>
      </c>
      <c r="B19" s="63"/>
      <c r="D19" s="27"/>
      <c r="E19" s="50"/>
    </row>
    <row r="20" spans="1:12" x14ac:dyDescent="0.25">
      <c r="A20" s="5" t="s">
        <v>90</v>
      </c>
      <c r="B20" s="105">
        <v>250</v>
      </c>
      <c r="D20" s="27"/>
      <c r="E20" s="50"/>
      <c r="L20" s="104"/>
    </row>
    <row r="21" spans="1:12" x14ac:dyDescent="0.25">
      <c r="A21" s="5" t="s">
        <v>89</v>
      </c>
      <c r="B21" s="6">
        <v>5</v>
      </c>
      <c r="D21" s="27"/>
      <c r="E21" s="50"/>
    </row>
    <row r="22" spans="1:12" x14ac:dyDescent="0.25">
      <c r="D22" s="27"/>
      <c r="E22" s="50"/>
    </row>
    <row r="23" spans="1:12" x14ac:dyDescent="0.25">
      <c r="D23" s="27"/>
      <c r="E23" s="50"/>
    </row>
    <row r="24" spans="1:12" x14ac:dyDescent="0.25">
      <c r="A24" s="64" t="s">
        <v>134</v>
      </c>
      <c r="B24" s="65"/>
      <c r="D24" s="27"/>
      <c r="E24" s="50"/>
    </row>
    <row r="25" spans="1:12" s="91" customFormat="1" x14ac:dyDescent="0.25">
      <c r="A25" s="64" t="s">
        <v>103</v>
      </c>
      <c r="B25" s="65"/>
      <c r="D25" s="27"/>
      <c r="E25" s="50"/>
    </row>
    <row r="26" spans="1:12" x14ac:dyDescent="0.25">
      <c r="A26" s="64" t="s">
        <v>135</v>
      </c>
      <c r="B26" s="65"/>
      <c r="D26" s="27"/>
      <c r="E26" s="50"/>
    </row>
    <row r="27" spans="1:12" x14ac:dyDescent="0.25">
      <c r="H27" s="91"/>
    </row>
    <row r="28" spans="1:12" ht="18.75" x14ac:dyDescent="0.3">
      <c r="A28" s="48" t="s">
        <v>59</v>
      </c>
      <c r="B28" s="49"/>
      <c r="C28" s="49"/>
      <c r="D28" s="49"/>
      <c r="E28" s="49"/>
    </row>
    <row r="30" spans="1:12" x14ac:dyDescent="0.25">
      <c r="A30" s="11" t="s">
        <v>57</v>
      </c>
    </row>
    <row r="31" spans="1:12" x14ac:dyDescent="0.25">
      <c r="A31" s="10" t="s">
        <v>116</v>
      </c>
      <c r="B31" s="108" t="e">
        <f>Calculations!M38</f>
        <v>#DIV/0!</v>
      </c>
    </row>
    <row r="32" spans="1:12" x14ac:dyDescent="0.25">
      <c r="A32" s="10" t="s">
        <v>117</v>
      </c>
      <c r="B32" s="108" t="e">
        <f>Calculations!Q38</f>
        <v>#DIV/0!</v>
      </c>
    </row>
    <row r="34" spans="1:5" x14ac:dyDescent="0.25">
      <c r="A34" s="11" t="s">
        <v>84</v>
      </c>
    </row>
    <row r="35" spans="1:5" x14ac:dyDescent="0.25">
      <c r="A35" s="10" t="s">
        <v>120</v>
      </c>
      <c r="B35" s="108" t="e">
        <f>$B$31+$B$32</f>
        <v>#DIV/0!</v>
      </c>
    </row>
    <row r="37" spans="1:5" x14ac:dyDescent="0.25">
      <c r="A37" s="11" t="str">
        <f>"Emissions Reductions (Life of Project = "&amp;'Assumed Values'!C9&amp;")"</f>
        <v>Emissions Reductions (Life of Project = 12)</v>
      </c>
      <c r="E37" s="96"/>
    </row>
    <row r="38" spans="1:5" x14ac:dyDescent="0.25">
      <c r="A38" s="10" t="s">
        <v>136</v>
      </c>
      <c r="B38" s="109" t="e">
        <f>Calculations!K38</f>
        <v>#DIV/0!</v>
      </c>
    </row>
    <row r="39" spans="1:5" x14ac:dyDescent="0.25">
      <c r="A39" s="10" t="s">
        <v>81</v>
      </c>
      <c r="B39" s="109" t="e">
        <f>Calculations!O38</f>
        <v>#DIV/0!</v>
      </c>
    </row>
    <row r="55" spans="1:1" x14ac:dyDescent="0.25">
      <c r="A55" s="4"/>
    </row>
    <row r="56" spans="1:1" x14ac:dyDescent="0.25">
      <c r="A56" s="4"/>
    </row>
  </sheetData>
  <sheetProtection algorithmName="SHA-512" hashValue="iTAdPPc76agqtMqRz30zpBz1MmkzkFzeP3KwfrEK0gOpbOg+uBuo79AqWTj+7Rq6HGvbIiMB1zTTHb5m2hYzsw==" saltValue="6Fg19nA4sYocji4EY4NhnA==" spinCount="100000" sheet="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error="Project Must Be Located Within the ">
          <x14:formula1>
            <xm:f>'Emission Factors - NOx'!$C$2:$J$2</xm:f>
          </x14:formula1>
          <xm:sqref>B9</xm:sqref>
        </x14:dataValidation>
        <x14:dataValidation type="list" operator="greaterThanOrEqual" allowBlank="1" showInputMessage="1" showErrorMessage="1" error="Year Must Be 2021 or Later">
          <x14:formula1>
            <xm:f>Calculations!$F$5:$F$37</xm:f>
          </x14:formula1>
          <xm:sqref>B13</xm:sqref>
        </x14:dataValidation>
        <x14:dataValidation type="list" allowBlank="1" showInputMessage="1" showErrorMessage="1">
          <x14:formula1>
            <xm:f>'Emission Factors - NOx'!$L$5:$L$6</xm:f>
          </x14:formula1>
          <xm:sqref>B15</xm:sqref>
        </x14:dataValidation>
        <x14:dataValidation type="list" allowBlank="1" showInputMessage="1" showErrorMessage="1">
          <x14:formula1>
            <xm:f>'Service Life'!$C$4:$C$10</xm:f>
          </x14:formula1>
          <xm:sqref>B14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B3:S46"/>
  <sheetViews>
    <sheetView zoomScale="85" zoomScaleNormal="85" workbookViewId="0">
      <selection activeCell="B16" sqref="B16"/>
    </sheetView>
  </sheetViews>
  <sheetFormatPr defaultRowHeight="15" x14ac:dyDescent="0.25"/>
  <cols>
    <col min="1" max="1" width="4.5703125" customWidth="1"/>
    <col min="2" max="2" width="50.7109375" customWidth="1"/>
    <col min="3" max="3" width="14" bestFit="1" customWidth="1"/>
    <col min="4" max="4" width="7.140625" customWidth="1"/>
    <col min="5" max="5" width="7.28515625" style="1" customWidth="1"/>
    <col min="6" max="7" width="18.5703125" style="46" customWidth="1"/>
    <col min="8" max="8" width="16.85546875" style="47" customWidth="1"/>
    <col min="9" max="9" width="16.28515625" customWidth="1"/>
    <col min="10" max="10" width="15.140625" customWidth="1"/>
    <col min="11" max="11" width="14.5703125" customWidth="1"/>
    <col min="12" max="12" width="17.140625" customWidth="1"/>
    <col min="13" max="13" width="11.7109375" bestFit="1" customWidth="1"/>
    <col min="14" max="14" width="18" customWidth="1"/>
    <col min="15" max="15" width="15" customWidth="1"/>
    <col min="16" max="16" width="15.42578125" customWidth="1"/>
    <col min="17" max="17" width="12.28515625" customWidth="1"/>
    <col min="18" max="18" width="16.42578125" customWidth="1"/>
    <col min="19" max="19" width="14.140625" customWidth="1"/>
    <col min="20" max="20" width="12.7109375" customWidth="1"/>
    <col min="21" max="21" width="12" customWidth="1"/>
    <col min="22" max="23" width="11.7109375" customWidth="1"/>
    <col min="24" max="24" width="10.140625" customWidth="1"/>
  </cols>
  <sheetData>
    <row r="3" spans="2:19" x14ac:dyDescent="0.25">
      <c r="F3" t="s">
        <v>65</v>
      </c>
      <c r="G3"/>
      <c r="Q3" s="1"/>
      <c r="R3" s="46"/>
      <c r="S3" s="47"/>
    </row>
    <row r="4" spans="2:19" ht="60" x14ac:dyDescent="0.25">
      <c r="B4" s="66" t="s">
        <v>17</v>
      </c>
      <c r="F4" s="14" t="s">
        <v>16</v>
      </c>
      <c r="G4" s="70" t="s">
        <v>97</v>
      </c>
      <c r="H4" s="52" t="s">
        <v>56</v>
      </c>
      <c r="I4" s="52" t="s">
        <v>95</v>
      </c>
      <c r="J4" s="14" t="s">
        <v>62</v>
      </c>
      <c r="K4" s="92" t="s">
        <v>109</v>
      </c>
      <c r="L4" s="55" t="s">
        <v>64</v>
      </c>
      <c r="M4" s="54" t="s">
        <v>66</v>
      </c>
      <c r="N4" s="14" t="s">
        <v>100</v>
      </c>
      <c r="O4" s="92" t="s">
        <v>111</v>
      </c>
      <c r="P4" s="52" t="s">
        <v>67</v>
      </c>
      <c r="Q4" s="53" t="s">
        <v>68</v>
      </c>
    </row>
    <row r="5" spans="2:19" x14ac:dyDescent="0.25">
      <c r="B5" s="16" t="s">
        <v>91</v>
      </c>
      <c r="C5" s="67" t="e">
        <f>('Inputs &amp; Outputs'!B25/'Inputs &amp; Outputs'!B24)^(1/(2025-2018))-1</f>
        <v>#DIV/0!</v>
      </c>
      <c r="F5" s="12">
        <v>2018</v>
      </c>
      <c r="G5" s="72" t="s">
        <v>98</v>
      </c>
      <c r="H5" s="73">
        <f>IF(AND(F5&gt;=Year_Open_to_Traffic?,F5&lt;Year_Open_to_Traffic?+'Assumed Values'!C$9),1,0)</f>
        <v>0</v>
      </c>
      <c r="I5" s="77">
        <f>IF(F5=Year_Open_to_Traffic?,Calculations!$C$12,0)</f>
        <v>0</v>
      </c>
      <c r="J5" s="77">
        <f>I5*'Assumed Values'!$C$8</f>
        <v>0</v>
      </c>
      <c r="K5" s="78">
        <f>(J5*(1/907184))*260</f>
        <v>0</v>
      </c>
      <c r="L5" s="79">
        <f>(K5*H5)*'Assumed Values'!$C$6</f>
        <v>0</v>
      </c>
      <c r="M5" s="80">
        <f>L5/(1.07^(F5-F$5))</f>
        <v>0</v>
      </c>
      <c r="N5" s="77">
        <f>I5*'Assumed Values'!$C$7</f>
        <v>0</v>
      </c>
      <c r="O5" s="78">
        <f>(N5*(1/907184.74))*260</f>
        <v>0</v>
      </c>
      <c r="P5" s="79">
        <f>(O5*H5)*'Assumed Values'!$C$5</f>
        <v>0</v>
      </c>
      <c r="Q5" s="80">
        <f t="shared" ref="Q5:Q37" si="0">P5/(1.07^(F5-F$5))</f>
        <v>0</v>
      </c>
    </row>
    <row r="6" spans="2:19" x14ac:dyDescent="0.25">
      <c r="B6" s="16" t="s">
        <v>92</v>
      </c>
      <c r="C6" s="67" t="e">
        <f>('Inputs &amp; Outputs'!B26/'Inputs &amp; Outputs'!B25)^(1/(2045-2025))-1</f>
        <v>#DIV/0!</v>
      </c>
      <c r="F6" s="74">
        <f t="shared" ref="F6:F37" si="1">F5+1</f>
        <v>2019</v>
      </c>
      <c r="G6" s="71" t="e">
        <f>$C$5</f>
        <v>#DIV/0!</v>
      </c>
      <c r="H6" s="73">
        <f>IF(AND(F6&gt;=Year_Open_to_Traffic?,F6&lt;Year_Open_to_Traffic?+'Assumed Values'!C$9),1,0)</f>
        <v>0</v>
      </c>
      <c r="I6" s="77" t="e">
        <f>IF(F6=Year_Open_to_Traffic?,Calculations!$C$12,(I5+I5*G6))</f>
        <v>#DIV/0!</v>
      </c>
      <c r="J6" s="77" t="e">
        <f>I6*'Assumed Values'!$C$8</f>
        <v>#DIV/0!</v>
      </c>
      <c r="K6" s="93" t="e">
        <f t="shared" ref="K6:K37" si="2">(J6*(1/907184))*260</f>
        <v>#DIV/0!</v>
      </c>
      <c r="L6" s="79" t="e">
        <f>(K6*H6)*'Assumed Values'!$C$6</f>
        <v>#DIV/0!</v>
      </c>
      <c r="M6" s="80" t="e">
        <f t="shared" ref="M6:M37" si="3">L6/(1.07^(F6-F$5))</f>
        <v>#DIV/0!</v>
      </c>
      <c r="N6" s="77" t="e">
        <f>I6*'Assumed Values'!$C$7</f>
        <v>#DIV/0!</v>
      </c>
      <c r="O6" s="93" t="e">
        <f t="shared" ref="O6:O37" si="4">(N6*(1/907184.74))*260</f>
        <v>#DIV/0!</v>
      </c>
      <c r="P6" s="79" t="e">
        <f>(O6*H6)*'Assumed Values'!$C$5</f>
        <v>#DIV/0!</v>
      </c>
      <c r="Q6" s="80" t="e">
        <f t="shared" si="0"/>
        <v>#DIV/0!</v>
      </c>
    </row>
    <row r="7" spans="2:19" x14ac:dyDescent="0.25">
      <c r="B7" s="16" t="s">
        <v>93</v>
      </c>
      <c r="C7" s="67" t="e">
        <f>('Inputs &amp; Outputs'!B26/'Inputs &amp; Outputs'!B24)^(1/(2045-2018))-1</f>
        <v>#DIV/0!</v>
      </c>
      <c r="F7" s="12">
        <f t="shared" si="1"/>
        <v>2020</v>
      </c>
      <c r="G7" s="71" t="e">
        <f t="shared" ref="G7:G12" si="5">$C$5</f>
        <v>#DIV/0!</v>
      </c>
      <c r="H7" s="73">
        <f>IF(AND(F7&gt;=Year_Open_to_Traffic?,F7&lt;Year_Open_to_Traffic?+'Assumed Values'!C$9),1,0)</f>
        <v>0</v>
      </c>
      <c r="I7" s="77" t="e">
        <f>IF(F7=Year_Open_to_Traffic?,Calculations!$C$12,(I6+I6*G7))</f>
        <v>#DIV/0!</v>
      </c>
      <c r="J7" s="77" t="e">
        <f>I7*'Assumed Values'!$C$8</f>
        <v>#DIV/0!</v>
      </c>
      <c r="K7" s="93" t="e">
        <f t="shared" si="2"/>
        <v>#DIV/0!</v>
      </c>
      <c r="L7" s="79" t="e">
        <f>(K7*H7)*'Assumed Values'!$C$6</f>
        <v>#DIV/0!</v>
      </c>
      <c r="M7" s="80" t="e">
        <f t="shared" si="3"/>
        <v>#DIV/0!</v>
      </c>
      <c r="N7" s="77" t="e">
        <f>I7*'Assumed Values'!$C$7</f>
        <v>#DIV/0!</v>
      </c>
      <c r="O7" s="93" t="e">
        <f t="shared" si="4"/>
        <v>#DIV/0!</v>
      </c>
      <c r="P7" s="79" t="e">
        <f>(O7*H7)*'Assumed Values'!$C$5</f>
        <v>#DIV/0!</v>
      </c>
      <c r="Q7" s="80" t="e">
        <f t="shared" si="0"/>
        <v>#DIV/0!</v>
      </c>
    </row>
    <row r="8" spans="2:19" x14ac:dyDescent="0.25">
      <c r="B8" s="27"/>
      <c r="C8" s="82"/>
      <c r="F8" s="74">
        <f t="shared" si="1"/>
        <v>2021</v>
      </c>
      <c r="G8" s="71" t="e">
        <f t="shared" si="5"/>
        <v>#DIV/0!</v>
      </c>
      <c r="H8" s="73">
        <f>IF(AND(F8&gt;=Year_Open_to_Traffic?,F8&lt;Year_Open_to_Traffic?+'Assumed Values'!C$9),1,0)</f>
        <v>1</v>
      </c>
      <c r="I8" s="77">
        <f>IF(F8=Year_Open_to_Traffic?,Calculations!$C$12,(I7+I7*G8))</f>
        <v>1798.5611510791368</v>
      </c>
      <c r="J8" s="77">
        <f>I8*'Assumed Values'!$C$8</f>
        <v>107.38903053579138</v>
      </c>
      <c r="K8" s="93">
        <f t="shared" si="2"/>
        <v>3.0777822293278717E-2</v>
      </c>
      <c r="L8" s="79">
        <f>(K8*H8)*'Assumed Values'!$C$6</f>
        <v>231.07988977793661</v>
      </c>
      <c r="M8" s="80">
        <f t="shared" si="3"/>
        <v>188.63002341790173</v>
      </c>
      <c r="N8" s="77">
        <f>I8*'Assumed Values'!$C$7</f>
        <v>20.373920849820145</v>
      </c>
      <c r="O8" s="93">
        <f t="shared" si="4"/>
        <v>5.8391848841650908E-3</v>
      </c>
      <c r="P8" s="79">
        <f>(O8*H8)*'Assumed Values'!$C$5</f>
        <v>11.123647204334498</v>
      </c>
      <c r="Q8" s="80">
        <f t="shared" si="0"/>
        <v>9.0802095961811116</v>
      </c>
    </row>
    <row r="9" spans="2:19" x14ac:dyDescent="0.25">
      <c r="B9" s="27"/>
      <c r="C9" s="82"/>
      <c r="F9" s="12">
        <f t="shared" si="1"/>
        <v>2022</v>
      </c>
      <c r="G9" s="71" t="e">
        <f t="shared" si="5"/>
        <v>#DIV/0!</v>
      </c>
      <c r="H9" s="73">
        <f>IF(AND(F9&gt;=Year_Open_to_Traffic?,F9&lt;Year_Open_to_Traffic?+'Assumed Values'!C$9),1,0)</f>
        <v>1</v>
      </c>
      <c r="I9" s="77" t="e">
        <f>IF(F9=Year_Open_to_Traffic?,Calculations!$C$12,(I8+I8*G9))</f>
        <v>#DIV/0!</v>
      </c>
      <c r="J9" s="77" t="e">
        <f>I9*'Assumed Values'!$C$8</f>
        <v>#DIV/0!</v>
      </c>
      <c r="K9" s="93" t="e">
        <f t="shared" si="2"/>
        <v>#DIV/0!</v>
      </c>
      <c r="L9" s="79" t="e">
        <f>(K9*H9)*'Assumed Values'!$C$6</f>
        <v>#DIV/0!</v>
      </c>
      <c r="M9" s="80" t="e">
        <f t="shared" si="3"/>
        <v>#DIV/0!</v>
      </c>
      <c r="N9" s="77" t="e">
        <f>I9*'Assumed Values'!$C$7</f>
        <v>#DIV/0!</v>
      </c>
      <c r="O9" s="93" t="e">
        <f t="shared" si="4"/>
        <v>#DIV/0!</v>
      </c>
      <c r="P9" s="79" t="e">
        <f>(O9*H9)*'Assumed Values'!$C$5</f>
        <v>#DIV/0!</v>
      </c>
      <c r="Q9" s="80" t="e">
        <f t="shared" si="0"/>
        <v>#DIV/0!</v>
      </c>
    </row>
    <row r="10" spans="2:19" x14ac:dyDescent="0.25">
      <c r="B10" s="68" t="s">
        <v>94</v>
      </c>
      <c r="F10" s="74">
        <f t="shared" si="1"/>
        <v>2023</v>
      </c>
      <c r="G10" s="71" t="e">
        <f t="shared" si="5"/>
        <v>#DIV/0!</v>
      </c>
      <c r="H10" s="73">
        <f>IF(AND(F10&gt;=Year_Open_to_Traffic?,F10&lt;Year_Open_to_Traffic?+'Assumed Values'!C$9),1,0)</f>
        <v>1</v>
      </c>
      <c r="I10" s="77" t="e">
        <f>IF(F10=Year_Open_to_Traffic?,Calculations!$C$12,(I9+I9*G10))</f>
        <v>#DIV/0!</v>
      </c>
      <c r="J10" s="77" t="e">
        <f>I10*'Assumed Values'!$C$8</f>
        <v>#DIV/0!</v>
      </c>
      <c r="K10" s="93" t="e">
        <f t="shared" si="2"/>
        <v>#DIV/0!</v>
      </c>
      <c r="L10" s="79" t="e">
        <f>(K10*H10)*'Assumed Values'!$C$6</f>
        <v>#DIV/0!</v>
      </c>
      <c r="M10" s="80" t="e">
        <f t="shared" si="3"/>
        <v>#DIV/0!</v>
      </c>
      <c r="N10" s="77" t="e">
        <f>I10*'Assumed Values'!$C$7</f>
        <v>#DIV/0!</v>
      </c>
      <c r="O10" s="93" t="e">
        <f t="shared" si="4"/>
        <v>#DIV/0!</v>
      </c>
      <c r="P10" s="79" t="e">
        <f>(O10*H10)*'Assumed Values'!$C$5</f>
        <v>#DIV/0!</v>
      </c>
      <c r="Q10" s="80" t="e">
        <f t="shared" si="0"/>
        <v>#DIV/0!</v>
      </c>
    </row>
    <row r="11" spans="2:19" x14ac:dyDescent="0.25">
      <c r="B11" s="69" t="s">
        <v>96</v>
      </c>
      <c r="C11" s="61">
        <f>'Inputs &amp; Outputs'!B20/'Assumed Values'!$C$13</f>
        <v>179.85611510791369</v>
      </c>
      <c r="F11" s="12">
        <f t="shared" si="1"/>
        <v>2024</v>
      </c>
      <c r="G11" s="71" t="e">
        <f t="shared" si="5"/>
        <v>#DIV/0!</v>
      </c>
      <c r="H11" s="73">
        <f>IF(AND(F11&gt;=Year_Open_to_Traffic?,F11&lt;Year_Open_to_Traffic?+'Assumed Values'!C$9),1,0)</f>
        <v>1</v>
      </c>
      <c r="I11" s="77" t="e">
        <f>IF(F11=Year_Open_to_Traffic?,Calculations!$C$12,(I10+I10*G11))</f>
        <v>#DIV/0!</v>
      </c>
      <c r="J11" s="77" t="e">
        <f>I11*'Assumed Values'!$C$8</f>
        <v>#DIV/0!</v>
      </c>
      <c r="K11" s="93" t="e">
        <f t="shared" si="2"/>
        <v>#DIV/0!</v>
      </c>
      <c r="L11" s="79" t="e">
        <f>(K11*H11)*'Assumed Values'!$C$6</f>
        <v>#DIV/0!</v>
      </c>
      <c r="M11" s="80" t="e">
        <f t="shared" si="3"/>
        <v>#DIV/0!</v>
      </c>
      <c r="N11" s="77" t="e">
        <f>I11*'Assumed Values'!$C$7</f>
        <v>#DIV/0!</v>
      </c>
      <c r="O11" s="93" t="e">
        <f t="shared" si="4"/>
        <v>#DIV/0!</v>
      </c>
      <c r="P11" s="79" t="e">
        <f>(O11*H11)*'Assumed Values'!$C$5</f>
        <v>#DIV/0!</v>
      </c>
      <c r="Q11" s="80" t="e">
        <f t="shared" si="0"/>
        <v>#DIV/0!</v>
      </c>
    </row>
    <row r="12" spans="2:19" x14ac:dyDescent="0.25">
      <c r="B12" s="69" t="s">
        <v>106</v>
      </c>
      <c r="C12" s="61">
        <f>(C11*'Inputs &amp; Outputs'!$B$21*2)</f>
        <v>1798.5611510791368</v>
      </c>
      <c r="F12" s="74">
        <f t="shared" si="1"/>
        <v>2025</v>
      </c>
      <c r="G12" s="71" t="e">
        <f t="shared" si="5"/>
        <v>#DIV/0!</v>
      </c>
      <c r="H12" s="73">
        <f>IF(AND(F12&gt;=Year_Open_to_Traffic?,F12&lt;Year_Open_to_Traffic?+'Assumed Values'!C$9),1,0)</f>
        <v>1</v>
      </c>
      <c r="I12" s="77" t="e">
        <f>IF(F12=Year_Open_to_Traffic?,Calculations!$C$12,(I11+I11*G12))</f>
        <v>#DIV/0!</v>
      </c>
      <c r="J12" s="77" t="e">
        <f>I12*'Assumed Values'!$C$8</f>
        <v>#DIV/0!</v>
      </c>
      <c r="K12" s="93" t="e">
        <f t="shared" si="2"/>
        <v>#DIV/0!</v>
      </c>
      <c r="L12" s="79" t="e">
        <f>(K12*H12)*'Assumed Values'!$C$6</f>
        <v>#DIV/0!</v>
      </c>
      <c r="M12" s="80" t="e">
        <f t="shared" si="3"/>
        <v>#DIV/0!</v>
      </c>
      <c r="N12" s="77" t="e">
        <f>I12*'Assumed Values'!$C$7</f>
        <v>#DIV/0!</v>
      </c>
      <c r="O12" s="93" t="e">
        <f t="shared" si="4"/>
        <v>#DIV/0!</v>
      </c>
      <c r="P12" s="79" t="e">
        <f>(O12*H12)*'Assumed Values'!$C$5</f>
        <v>#DIV/0!</v>
      </c>
      <c r="Q12" s="80" t="e">
        <f t="shared" si="0"/>
        <v>#DIV/0!</v>
      </c>
    </row>
    <row r="13" spans="2:19" x14ac:dyDescent="0.25">
      <c r="B13" s="83"/>
      <c r="C13" s="60"/>
      <c r="F13" s="12">
        <f t="shared" si="1"/>
        <v>2026</v>
      </c>
      <c r="G13" s="75" t="e">
        <f>$C$6</f>
        <v>#DIV/0!</v>
      </c>
      <c r="H13" s="73">
        <f>IF(AND(F13&gt;=Year_Open_to_Traffic?,F13&lt;Year_Open_to_Traffic?+'Assumed Values'!C$9),1,0)</f>
        <v>1</v>
      </c>
      <c r="I13" s="77" t="e">
        <f>IF(F13=Year_Open_to_Traffic?,Calculations!$C$12,(I12+I12*G13))</f>
        <v>#DIV/0!</v>
      </c>
      <c r="J13" s="77" t="e">
        <f>I13*'Assumed Values'!$C$8</f>
        <v>#DIV/0!</v>
      </c>
      <c r="K13" s="93" t="e">
        <f t="shared" si="2"/>
        <v>#DIV/0!</v>
      </c>
      <c r="L13" s="79" t="e">
        <f>(K13*H13)*'Assumed Values'!$C$6</f>
        <v>#DIV/0!</v>
      </c>
      <c r="M13" s="80" t="e">
        <f t="shared" si="3"/>
        <v>#DIV/0!</v>
      </c>
      <c r="N13" s="77" t="e">
        <f>I13*'Assumed Values'!$C$7</f>
        <v>#DIV/0!</v>
      </c>
      <c r="O13" s="93" t="e">
        <f t="shared" si="4"/>
        <v>#DIV/0!</v>
      </c>
      <c r="P13" s="79" t="e">
        <f>(O13*H13)*'Assumed Values'!$C$5</f>
        <v>#DIV/0!</v>
      </c>
      <c r="Q13" s="80" t="e">
        <f t="shared" si="0"/>
        <v>#DIV/0!</v>
      </c>
    </row>
    <row r="14" spans="2:19" x14ac:dyDescent="0.25">
      <c r="F14" s="74">
        <f t="shared" si="1"/>
        <v>2027</v>
      </c>
      <c r="G14" s="75" t="e">
        <f t="shared" ref="G14:G37" si="6">$C$6</f>
        <v>#DIV/0!</v>
      </c>
      <c r="H14" s="73">
        <f>IF(AND(F14&gt;=Year_Open_to_Traffic?,F14&lt;Year_Open_to_Traffic?+'Assumed Values'!C$9),1,0)</f>
        <v>1</v>
      </c>
      <c r="I14" s="77" t="e">
        <f>IF(F14=Year_Open_to_Traffic?,Calculations!$C$12,(I13+I13*G14))</f>
        <v>#DIV/0!</v>
      </c>
      <c r="J14" s="77" t="e">
        <f>I14*'Assumed Values'!$C$8</f>
        <v>#DIV/0!</v>
      </c>
      <c r="K14" s="93" t="e">
        <f t="shared" si="2"/>
        <v>#DIV/0!</v>
      </c>
      <c r="L14" s="79" t="e">
        <f>(K14*H14)*'Assumed Values'!$C$6</f>
        <v>#DIV/0!</v>
      </c>
      <c r="M14" s="80" t="e">
        <f t="shared" si="3"/>
        <v>#DIV/0!</v>
      </c>
      <c r="N14" s="77" t="e">
        <f>I14*'Assumed Values'!$C$7</f>
        <v>#DIV/0!</v>
      </c>
      <c r="O14" s="93" t="e">
        <f t="shared" si="4"/>
        <v>#DIV/0!</v>
      </c>
      <c r="P14" s="79" t="e">
        <f>(O14*H14)*'Assumed Values'!$C$5</f>
        <v>#DIV/0!</v>
      </c>
      <c r="Q14" s="80" t="e">
        <f t="shared" si="0"/>
        <v>#DIV/0!</v>
      </c>
    </row>
    <row r="15" spans="2:19" x14ac:dyDescent="0.25">
      <c r="F15" s="12">
        <f t="shared" si="1"/>
        <v>2028</v>
      </c>
      <c r="G15" s="75" t="e">
        <f t="shared" si="6"/>
        <v>#DIV/0!</v>
      </c>
      <c r="H15" s="73">
        <f>IF(AND(F15&gt;=Year_Open_to_Traffic?,F15&lt;Year_Open_to_Traffic?+'Assumed Values'!C$9),1,0)</f>
        <v>1</v>
      </c>
      <c r="I15" s="77" t="e">
        <f>IF(F15=Year_Open_to_Traffic?,Calculations!$C$12,(I14+I14*G15))</f>
        <v>#DIV/0!</v>
      </c>
      <c r="J15" s="77" t="e">
        <f>I15*'Assumed Values'!$C$8</f>
        <v>#DIV/0!</v>
      </c>
      <c r="K15" s="93" t="e">
        <f t="shared" si="2"/>
        <v>#DIV/0!</v>
      </c>
      <c r="L15" s="79" t="e">
        <f>(K15*H15)*'Assumed Values'!$C$6</f>
        <v>#DIV/0!</v>
      </c>
      <c r="M15" s="80" t="e">
        <f t="shared" si="3"/>
        <v>#DIV/0!</v>
      </c>
      <c r="N15" s="77" t="e">
        <f>I15*'Assumed Values'!$C$7</f>
        <v>#DIV/0!</v>
      </c>
      <c r="O15" s="93" t="e">
        <f t="shared" si="4"/>
        <v>#DIV/0!</v>
      </c>
      <c r="P15" s="79" t="e">
        <f>(O15*H15)*'Assumed Values'!$C$5</f>
        <v>#DIV/0!</v>
      </c>
      <c r="Q15" s="80" t="e">
        <f t="shared" si="0"/>
        <v>#DIV/0!</v>
      </c>
    </row>
    <row r="16" spans="2:19" x14ac:dyDescent="0.25">
      <c r="B16" s="68" t="s">
        <v>114</v>
      </c>
      <c r="C16" s="76">
        <f>$C$12*'Assumed Values'!C$8</f>
        <v>107.38903053579138</v>
      </c>
      <c r="F16" s="74">
        <f t="shared" si="1"/>
        <v>2029</v>
      </c>
      <c r="G16" s="75" t="e">
        <f t="shared" si="6"/>
        <v>#DIV/0!</v>
      </c>
      <c r="H16" s="73">
        <f>IF(AND(F16&gt;=Year_Open_to_Traffic?,F16&lt;Year_Open_to_Traffic?+'Assumed Values'!C$9),1,0)</f>
        <v>1</v>
      </c>
      <c r="I16" s="77" t="e">
        <f>IF(F16=Year_Open_to_Traffic?,Calculations!$C$12,(I15+I15*G16))</f>
        <v>#DIV/0!</v>
      </c>
      <c r="J16" s="77" t="e">
        <f>I16*'Assumed Values'!$C$8</f>
        <v>#DIV/0!</v>
      </c>
      <c r="K16" s="93" t="e">
        <f t="shared" si="2"/>
        <v>#DIV/0!</v>
      </c>
      <c r="L16" s="79" t="e">
        <f>(K16*H16)*'Assumed Values'!$C$6</f>
        <v>#DIV/0!</v>
      </c>
      <c r="M16" s="80" t="e">
        <f t="shared" si="3"/>
        <v>#DIV/0!</v>
      </c>
      <c r="N16" s="77" t="e">
        <f>I16*'Assumed Values'!$C$7</f>
        <v>#DIV/0!</v>
      </c>
      <c r="O16" s="93" t="e">
        <f t="shared" si="4"/>
        <v>#DIV/0!</v>
      </c>
      <c r="P16" s="79" t="e">
        <f>(O16*H16)*'Assumed Values'!$C$5</f>
        <v>#DIV/0!</v>
      </c>
      <c r="Q16" s="80" t="e">
        <f t="shared" si="0"/>
        <v>#DIV/0!</v>
      </c>
    </row>
    <row r="17" spans="2:17" x14ac:dyDescent="0.25">
      <c r="F17" s="12">
        <f t="shared" si="1"/>
        <v>2030</v>
      </c>
      <c r="G17" s="75" t="e">
        <f t="shared" si="6"/>
        <v>#DIV/0!</v>
      </c>
      <c r="H17" s="73">
        <f>IF(AND(F17&gt;=Year_Open_to_Traffic?,F17&lt;Year_Open_to_Traffic?+'Assumed Values'!C$9),1,0)</f>
        <v>1</v>
      </c>
      <c r="I17" s="77" t="e">
        <f>IF(F17=Year_Open_to_Traffic?,Calculations!$C$12,(I16+I16*G17))</f>
        <v>#DIV/0!</v>
      </c>
      <c r="J17" s="77" t="e">
        <f>I17*'Assumed Values'!$C$8</f>
        <v>#DIV/0!</v>
      </c>
      <c r="K17" s="93" t="e">
        <f t="shared" si="2"/>
        <v>#DIV/0!</v>
      </c>
      <c r="L17" s="79" t="e">
        <f>(K17*H17)*'Assumed Values'!$C$6</f>
        <v>#DIV/0!</v>
      </c>
      <c r="M17" s="80" t="e">
        <f t="shared" si="3"/>
        <v>#DIV/0!</v>
      </c>
      <c r="N17" s="77" t="e">
        <f>I17*'Assumed Values'!$C$7</f>
        <v>#DIV/0!</v>
      </c>
      <c r="O17" s="93" t="e">
        <f t="shared" si="4"/>
        <v>#DIV/0!</v>
      </c>
      <c r="P17" s="79" t="e">
        <f>(O17*H17)*'Assumed Values'!$C$5</f>
        <v>#DIV/0!</v>
      </c>
      <c r="Q17" s="80" t="e">
        <f t="shared" si="0"/>
        <v>#DIV/0!</v>
      </c>
    </row>
    <row r="18" spans="2:17" x14ac:dyDescent="0.25">
      <c r="B18" s="68" t="s">
        <v>115</v>
      </c>
      <c r="C18" s="76">
        <f>$C$12*'Assumed Values'!C$7</f>
        <v>20.373920849820145</v>
      </c>
      <c r="F18" s="74">
        <f t="shared" si="1"/>
        <v>2031</v>
      </c>
      <c r="G18" s="75" t="e">
        <f t="shared" si="6"/>
        <v>#DIV/0!</v>
      </c>
      <c r="H18" s="73">
        <f>IF(AND(F18&gt;=Year_Open_to_Traffic?,F18&lt;Year_Open_to_Traffic?+'Assumed Values'!C$9),1,0)</f>
        <v>1</v>
      </c>
      <c r="I18" s="77" t="e">
        <f>IF(F18=Year_Open_to_Traffic?,Calculations!$C$12,(I17+I17*G18))</f>
        <v>#DIV/0!</v>
      </c>
      <c r="J18" s="77" t="e">
        <f>I18*'Assumed Values'!$C$8</f>
        <v>#DIV/0!</v>
      </c>
      <c r="K18" s="93" t="e">
        <f t="shared" si="2"/>
        <v>#DIV/0!</v>
      </c>
      <c r="L18" s="79" t="e">
        <f>(K18*H18)*'Assumed Values'!$C$6</f>
        <v>#DIV/0!</v>
      </c>
      <c r="M18" s="80" t="e">
        <f t="shared" si="3"/>
        <v>#DIV/0!</v>
      </c>
      <c r="N18" s="77" t="e">
        <f>I18*'Assumed Values'!$C$7</f>
        <v>#DIV/0!</v>
      </c>
      <c r="O18" s="93" t="e">
        <f t="shared" si="4"/>
        <v>#DIV/0!</v>
      </c>
      <c r="P18" s="79" t="e">
        <f>(O18*H18)*'Assumed Values'!$C$5</f>
        <v>#DIV/0!</v>
      </c>
      <c r="Q18" s="80" t="e">
        <f t="shared" si="0"/>
        <v>#DIV/0!</v>
      </c>
    </row>
    <row r="19" spans="2:17" x14ac:dyDescent="0.25">
      <c r="F19" s="12">
        <f t="shared" si="1"/>
        <v>2032</v>
      </c>
      <c r="G19" s="75" t="e">
        <f t="shared" si="6"/>
        <v>#DIV/0!</v>
      </c>
      <c r="H19" s="73">
        <f>IF(AND(F19&gt;=Year_Open_to_Traffic?,F19&lt;Year_Open_to_Traffic?+'Assumed Values'!C$9),1,0)</f>
        <v>1</v>
      </c>
      <c r="I19" s="77" t="e">
        <f>IF(F19=Year_Open_to_Traffic?,Calculations!$C$12,(I18+I18*G19))</f>
        <v>#DIV/0!</v>
      </c>
      <c r="J19" s="77" t="e">
        <f>I19*'Assumed Values'!$C$8</f>
        <v>#DIV/0!</v>
      </c>
      <c r="K19" s="93" t="e">
        <f t="shared" si="2"/>
        <v>#DIV/0!</v>
      </c>
      <c r="L19" s="79" t="e">
        <f>(K19*H19)*'Assumed Values'!$C$6</f>
        <v>#DIV/0!</v>
      </c>
      <c r="M19" s="80" t="e">
        <f t="shared" si="3"/>
        <v>#DIV/0!</v>
      </c>
      <c r="N19" s="77" t="e">
        <f>I19*'Assumed Values'!$C$7</f>
        <v>#DIV/0!</v>
      </c>
      <c r="O19" s="93" t="e">
        <f t="shared" si="4"/>
        <v>#DIV/0!</v>
      </c>
      <c r="P19" s="79" t="e">
        <f>(O19*H19)*'Assumed Values'!$C$5</f>
        <v>#DIV/0!</v>
      </c>
      <c r="Q19" s="80" t="e">
        <f t="shared" si="0"/>
        <v>#DIV/0!</v>
      </c>
    </row>
    <row r="20" spans="2:17" x14ac:dyDescent="0.25">
      <c r="F20" s="74">
        <f t="shared" si="1"/>
        <v>2033</v>
      </c>
      <c r="G20" s="75" t="e">
        <f t="shared" si="6"/>
        <v>#DIV/0!</v>
      </c>
      <c r="H20" s="73">
        <f>IF(AND(F20&gt;=Year_Open_to_Traffic?,F20&lt;Year_Open_to_Traffic?+'Assumed Values'!C$9),1,0)</f>
        <v>0</v>
      </c>
      <c r="I20" s="77" t="e">
        <f>IF(F20=Year_Open_to_Traffic?,Calculations!$C$12,(I19+I19*G20))</f>
        <v>#DIV/0!</v>
      </c>
      <c r="J20" s="77" t="e">
        <f>I20*'Assumed Values'!$C$8</f>
        <v>#DIV/0!</v>
      </c>
      <c r="K20" s="93" t="e">
        <f t="shared" si="2"/>
        <v>#DIV/0!</v>
      </c>
      <c r="L20" s="79" t="e">
        <f>(K20*H20)*'Assumed Values'!$C$6</f>
        <v>#DIV/0!</v>
      </c>
      <c r="M20" s="80" t="e">
        <f t="shared" si="3"/>
        <v>#DIV/0!</v>
      </c>
      <c r="N20" s="77" t="e">
        <f>I20*'Assumed Values'!$C$7</f>
        <v>#DIV/0!</v>
      </c>
      <c r="O20" s="93" t="e">
        <f t="shared" si="4"/>
        <v>#DIV/0!</v>
      </c>
      <c r="P20" s="79" t="e">
        <f>(O20*H20)*'Assumed Values'!$C$5</f>
        <v>#DIV/0!</v>
      </c>
      <c r="Q20" s="80" t="e">
        <f t="shared" si="0"/>
        <v>#DIV/0!</v>
      </c>
    </row>
    <row r="21" spans="2:17" x14ac:dyDescent="0.25">
      <c r="F21" s="12">
        <f t="shared" si="1"/>
        <v>2034</v>
      </c>
      <c r="G21" s="75" t="e">
        <f t="shared" si="6"/>
        <v>#DIV/0!</v>
      </c>
      <c r="H21" s="73">
        <f>IF(AND(F21&gt;=Year_Open_to_Traffic?,F21&lt;Year_Open_to_Traffic?+'Assumed Values'!C$9),1,0)</f>
        <v>0</v>
      </c>
      <c r="I21" s="77" t="e">
        <f>IF(F21=Year_Open_to_Traffic?,Calculations!$C$12,(I20+I20*G21))</f>
        <v>#DIV/0!</v>
      </c>
      <c r="J21" s="77" t="e">
        <f>I21*'Assumed Values'!$C$8</f>
        <v>#DIV/0!</v>
      </c>
      <c r="K21" s="93" t="e">
        <f t="shared" si="2"/>
        <v>#DIV/0!</v>
      </c>
      <c r="L21" s="79" t="e">
        <f>(K21*H21)*'Assumed Values'!$C$6</f>
        <v>#DIV/0!</v>
      </c>
      <c r="M21" s="80" t="e">
        <f t="shared" si="3"/>
        <v>#DIV/0!</v>
      </c>
      <c r="N21" s="77" t="e">
        <f>I21*'Assumed Values'!$C$7</f>
        <v>#DIV/0!</v>
      </c>
      <c r="O21" s="93" t="e">
        <f t="shared" si="4"/>
        <v>#DIV/0!</v>
      </c>
      <c r="P21" s="79" t="e">
        <f>(O21*H21)*'Assumed Values'!$C$5</f>
        <v>#DIV/0!</v>
      </c>
      <c r="Q21" s="80" t="e">
        <f t="shared" si="0"/>
        <v>#DIV/0!</v>
      </c>
    </row>
    <row r="22" spans="2:17" x14ac:dyDescent="0.25">
      <c r="F22" s="74">
        <f t="shared" si="1"/>
        <v>2035</v>
      </c>
      <c r="G22" s="75" t="e">
        <f t="shared" si="6"/>
        <v>#DIV/0!</v>
      </c>
      <c r="H22" s="73">
        <f>IF(AND(F22&gt;=Year_Open_to_Traffic?,F22&lt;Year_Open_to_Traffic?+'Assumed Values'!C$9),1,0)</f>
        <v>0</v>
      </c>
      <c r="I22" s="77" t="e">
        <f>IF(F22=Year_Open_to_Traffic?,Calculations!$C$12,(I21+I21*G22))</f>
        <v>#DIV/0!</v>
      </c>
      <c r="J22" s="77" t="e">
        <f>I22*'Assumed Values'!$C$8</f>
        <v>#DIV/0!</v>
      </c>
      <c r="K22" s="93" t="e">
        <f t="shared" si="2"/>
        <v>#DIV/0!</v>
      </c>
      <c r="L22" s="79" t="e">
        <f>(K22*H22)*'Assumed Values'!$C$6</f>
        <v>#DIV/0!</v>
      </c>
      <c r="M22" s="80" t="e">
        <f t="shared" si="3"/>
        <v>#DIV/0!</v>
      </c>
      <c r="N22" s="77" t="e">
        <f>I22*'Assumed Values'!$C$7</f>
        <v>#DIV/0!</v>
      </c>
      <c r="O22" s="93" t="e">
        <f t="shared" si="4"/>
        <v>#DIV/0!</v>
      </c>
      <c r="P22" s="79" t="e">
        <f>(O22*H22)*'Assumed Values'!$C$5</f>
        <v>#DIV/0!</v>
      </c>
      <c r="Q22" s="80" t="e">
        <f t="shared" si="0"/>
        <v>#DIV/0!</v>
      </c>
    </row>
    <row r="23" spans="2:17" x14ac:dyDescent="0.25">
      <c r="F23" s="12">
        <f t="shared" si="1"/>
        <v>2036</v>
      </c>
      <c r="G23" s="75" t="e">
        <f t="shared" si="6"/>
        <v>#DIV/0!</v>
      </c>
      <c r="H23" s="73">
        <f>IF(AND(F23&gt;=Year_Open_to_Traffic?,F23&lt;Year_Open_to_Traffic?+'Assumed Values'!C$9),1,0)</f>
        <v>0</v>
      </c>
      <c r="I23" s="77" t="e">
        <f>IF(F23=Year_Open_to_Traffic?,Calculations!$C$12,(I22+I22*G23))</f>
        <v>#DIV/0!</v>
      </c>
      <c r="J23" s="77" t="e">
        <f>I23*'Assumed Values'!$C$8</f>
        <v>#DIV/0!</v>
      </c>
      <c r="K23" s="93" t="e">
        <f t="shared" si="2"/>
        <v>#DIV/0!</v>
      </c>
      <c r="L23" s="79" t="e">
        <f>(K23*H23)*'Assumed Values'!$C$6</f>
        <v>#DIV/0!</v>
      </c>
      <c r="M23" s="80" t="e">
        <f t="shared" si="3"/>
        <v>#DIV/0!</v>
      </c>
      <c r="N23" s="77" t="e">
        <f>I23*'Assumed Values'!$C$7</f>
        <v>#DIV/0!</v>
      </c>
      <c r="O23" s="93" t="e">
        <f t="shared" si="4"/>
        <v>#DIV/0!</v>
      </c>
      <c r="P23" s="79" t="e">
        <f>(O23*H23)*'Assumed Values'!$C$5</f>
        <v>#DIV/0!</v>
      </c>
      <c r="Q23" s="80" t="e">
        <f t="shared" si="0"/>
        <v>#DIV/0!</v>
      </c>
    </row>
    <row r="24" spans="2:17" x14ac:dyDescent="0.25">
      <c r="F24" s="74">
        <f t="shared" si="1"/>
        <v>2037</v>
      </c>
      <c r="G24" s="75" t="e">
        <f t="shared" si="6"/>
        <v>#DIV/0!</v>
      </c>
      <c r="H24" s="73">
        <f>IF(AND(F24&gt;=Year_Open_to_Traffic?,F24&lt;Year_Open_to_Traffic?+'Assumed Values'!C$9),1,0)</f>
        <v>0</v>
      </c>
      <c r="I24" s="77" t="e">
        <f>IF(F24=Year_Open_to_Traffic?,Calculations!$C$12,(I23+I23*G24))</f>
        <v>#DIV/0!</v>
      </c>
      <c r="J24" s="77" t="e">
        <f>I24*'Assumed Values'!$C$8</f>
        <v>#DIV/0!</v>
      </c>
      <c r="K24" s="93" t="e">
        <f t="shared" si="2"/>
        <v>#DIV/0!</v>
      </c>
      <c r="L24" s="79" t="e">
        <f>(K24*H24)*'Assumed Values'!$C$6</f>
        <v>#DIV/0!</v>
      </c>
      <c r="M24" s="80" t="e">
        <f t="shared" si="3"/>
        <v>#DIV/0!</v>
      </c>
      <c r="N24" s="77" t="e">
        <f>I24*'Assumed Values'!$C$7</f>
        <v>#DIV/0!</v>
      </c>
      <c r="O24" s="93" t="e">
        <f t="shared" si="4"/>
        <v>#DIV/0!</v>
      </c>
      <c r="P24" s="79" t="e">
        <f>(O24*H24)*'Assumed Values'!$C$5</f>
        <v>#DIV/0!</v>
      </c>
      <c r="Q24" s="80" t="e">
        <f t="shared" si="0"/>
        <v>#DIV/0!</v>
      </c>
    </row>
    <row r="25" spans="2:17" x14ac:dyDescent="0.25">
      <c r="F25" s="12">
        <f t="shared" si="1"/>
        <v>2038</v>
      </c>
      <c r="G25" s="75" t="e">
        <f t="shared" si="6"/>
        <v>#DIV/0!</v>
      </c>
      <c r="H25" s="73">
        <f>IF(AND(F25&gt;=Year_Open_to_Traffic?,F25&lt;Year_Open_to_Traffic?+'Assumed Values'!C$9),1,0)</f>
        <v>0</v>
      </c>
      <c r="I25" s="77" t="e">
        <f>IF(F25=Year_Open_to_Traffic?,Calculations!$C$12,(I24+I24*G25))</f>
        <v>#DIV/0!</v>
      </c>
      <c r="J25" s="77" t="e">
        <f>I25*'Assumed Values'!$C$8</f>
        <v>#DIV/0!</v>
      </c>
      <c r="K25" s="93" t="e">
        <f t="shared" si="2"/>
        <v>#DIV/0!</v>
      </c>
      <c r="L25" s="79" t="e">
        <f>(K25*H25)*'Assumed Values'!$C$6</f>
        <v>#DIV/0!</v>
      </c>
      <c r="M25" s="80" t="e">
        <f t="shared" si="3"/>
        <v>#DIV/0!</v>
      </c>
      <c r="N25" s="77" t="e">
        <f>I25*'Assumed Values'!$C$7</f>
        <v>#DIV/0!</v>
      </c>
      <c r="O25" s="93" t="e">
        <f t="shared" si="4"/>
        <v>#DIV/0!</v>
      </c>
      <c r="P25" s="79" t="e">
        <f>(O25*H25)*'Assumed Values'!$C$5</f>
        <v>#DIV/0!</v>
      </c>
      <c r="Q25" s="80" t="e">
        <f t="shared" si="0"/>
        <v>#DIV/0!</v>
      </c>
    </row>
    <row r="26" spans="2:17" x14ac:dyDescent="0.25">
      <c r="F26" s="74">
        <f t="shared" si="1"/>
        <v>2039</v>
      </c>
      <c r="G26" s="75" t="e">
        <f t="shared" si="6"/>
        <v>#DIV/0!</v>
      </c>
      <c r="H26" s="73">
        <f>IF(AND(F26&gt;=Year_Open_to_Traffic?,F26&lt;Year_Open_to_Traffic?+'Assumed Values'!C$9),1,0)</f>
        <v>0</v>
      </c>
      <c r="I26" s="77" t="e">
        <f>IF(F26=Year_Open_to_Traffic?,Calculations!$C$12,(I25+I25*G26))</f>
        <v>#DIV/0!</v>
      </c>
      <c r="J26" s="77" t="e">
        <f>I26*'Assumed Values'!$C$8</f>
        <v>#DIV/0!</v>
      </c>
      <c r="K26" s="93" t="e">
        <f t="shared" si="2"/>
        <v>#DIV/0!</v>
      </c>
      <c r="L26" s="79" t="e">
        <f>(K26*H26)*'Assumed Values'!$C$6</f>
        <v>#DIV/0!</v>
      </c>
      <c r="M26" s="80" t="e">
        <f t="shared" si="3"/>
        <v>#DIV/0!</v>
      </c>
      <c r="N26" s="77" t="e">
        <f>I26*'Assumed Values'!$C$7</f>
        <v>#DIV/0!</v>
      </c>
      <c r="O26" s="93" t="e">
        <f t="shared" si="4"/>
        <v>#DIV/0!</v>
      </c>
      <c r="P26" s="79" t="e">
        <f>(O26*H26)*'Assumed Values'!$C$5</f>
        <v>#DIV/0!</v>
      </c>
      <c r="Q26" s="80" t="e">
        <f t="shared" si="0"/>
        <v>#DIV/0!</v>
      </c>
    </row>
    <row r="27" spans="2:17" x14ac:dyDescent="0.25">
      <c r="F27" s="12">
        <f t="shared" si="1"/>
        <v>2040</v>
      </c>
      <c r="G27" s="75" t="e">
        <f t="shared" si="6"/>
        <v>#DIV/0!</v>
      </c>
      <c r="H27" s="73">
        <f>IF(AND(F27&gt;=Year_Open_to_Traffic?,F27&lt;Year_Open_to_Traffic?+'Assumed Values'!C$9),1,0)</f>
        <v>0</v>
      </c>
      <c r="I27" s="77" t="e">
        <f>IF(F27=Year_Open_to_Traffic?,Calculations!$C$12,(I26+I26*G27))</f>
        <v>#DIV/0!</v>
      </c>
      <c r="J27" s="77" t="e">
        <f>I27*'Assumed Values'!$C$8</f>
        <v>#DIV/0!</v>
      </c>
      <c r="K27" s="93" t="e">
        <f t="shared" si="2"/>
        <v>#DIV/0!</v>
      </c>
      <c r="L27" s="79" t="e">
        <f>(K27*H27)*'Assumed Values'!$C$6</f>
        <v>#DIV/0!</v>
      </c>
      <c r="M27" s="80" t="e">
        <f t="shared" si="3"/>
        <v>#DIV/0!</v>
      </c>
      <c r="N27" s="77" t="e">
        <f>I27*'Assumed Values'!$C$7</f>
        <v>#DIV/0!</v>
      </c>
      <c r="O27" s="93" t="e">
        <f t="shared" si="4"/>
        <v>#DIV/0!</v>
      </c>
      <c r="P27" s="79" t="e">
        <f>(O27*H27)*'Assumed Values'!$C$5</f>
        <v>#DIV/0!</v>
      </c>
      <c r="Q27" s="80" t="e">
        <f t="shared" si="0"/>
        <v>#DIV/0!</v>
      </c>
    </row>
    <row r="28" spans="2:17" x14ac:dyDescent="0.25">
      <c r="F28" s="74">
        <f t="shared" si="1"/>
        <v>2041</v>
      </c>
      <c r="G28" s="75" t="e">
        <f t="shared" si="6"/>
        <v>#DIV/0!</v>
      </c>
      <c r="H28" s="73">
        <f>IF(AND(F28&gt;=Year_Open_to_Traffic?,F28&lt;Year_Open_to_Traffic?+'Assumed Values'!C$9),1,0)</f>
        <v>0</v>
      </c>
      <c r="I28" s="77" t="e">
        <f>IF(F28=Year_Open_to_Traffic?,Calculations!$C$12,(I27+I27*G28))</f>
        <v>#DIV/0!</v>
      </c>
      <c r="J28" s="77" t="e">
        <f>I28*'Assumed Values'!$C$8</f>
        <v>#DIV/0!</v>
      </c>
      <c r="K28" s="93" t="e">
        <f t="shared" si="2"/>
        <v>#DIV/0!</v>
      </c>
      <c r="L28" s="79" t="e">
        <f>(K28*H28)*'Assumed Values'!$C$6</f>
        <v>#DIV/0!</v>
      </c>
      <c r="M28" s="80" t="e">
        <f t="shared" si="3"/>
        <v>#DIV/0!</v>
      </c>
      <c r="N28" s="77" t="e">
        <f>I28*'Assumed Values'!$C$7</f>
        <v>#DIV/0!</v>
      </c>
      <c r="O28" s="93" t="e">
        <f t="shared" si="4"/>
        <v>#DIV/0!</v>
      </c>
      <c r="P28" s="79" t="e">
        <f>(O28*H28)*'Assumed Values'!$C$5</f>
        <v>#DIV/0!</v>
      </c>
      <c r="Q28" s="80" t="e">
        <f t="shared" si="0"/>
        <v>#DIV/0!</v>
      </c>
    </row>
    <row r="29" spans="2:17" x14ac:dyDescent="0.25">
      <c r="F29" s="12">
        <f t="shared" si="1"/>
        <v>2042</v>
      </c>
      <c r="G29" s="75" t="e">
        <f t="shared" si="6"/>
        <v>#DIV/0!</v>
      </c>
      <c r="H29" s="73">
        <f>IF(AND(F29&gt;=Year_Open_to_Traffic?,F29&lt;Year_Open_to_Traffic?+'Assumed Values'!C$9),1,0)</f>
        <v>0</v>
      </c>
      <c r="I29" s="77" t="e">
        <f>IF(F29=Year_Open_to_Traffic?,Calculations!$C$12,(I28+I28*G29))</f>
        <v>#DIV/0!</v>
      </c>
      <c r="J29" s="77" t="e">
        <f>I29*'Assumed Values'!$C$8</f>
        <v>#DIV/0!</v>
      </c>
      <c r="K29" s="93" t="e">
        <f t="shared" si="2"/>
        <v>#DIV/0!</v>
      </c>
      <c r="L29" s="79" t="e">
        <f>(K29*H29)*'Assumed Values'!$C$6</f>
        <v>#DIV/0!</v>
      </c>
      <c r="M29" s="80" t="e">
        <f t="shared" si="3"/>
        <v>#DIV/0!</v>
      </c>
      <c r="N29" s="77" t="e">
        <f>I29*'Assumed Values'!$C$7</f>
        <v>#DIV/0!</v>
      </c>
      <c r="O29" s="93" t="e">
        <f t="shared" si="4"/>
        <v>#DIV/0!</v>
      </c>
      <c r="P29" s="79" t="e">
        <f>(O29*H29)*'Assumed Values'!$C$5</f>
        <v>#DIV/0!</v>
      </c>
      <c r="Q29" s="80" t="e">
        <f t="shared" si="0"/>
        <v>#DIV/0!</v>
      </c>
    </row>
    <row r="30" spans="2:17" x14ac:dyDescent="0.25">
      <c r="F30" s="74">
        <f t="shared" si="1"/>
        <v>2043</v>
      </c>
      <c r="G30" s="75" t="e">
        <f t="shared" si="6"/>
        <v>#DIV/0!</v>
      </c>
      <c r="H30" s="73">
        <f>IF(AND(F30&gt;=Year_Open_to_Traffic?,F30&lt;Year_Open_to_Traffic?+'Assumed Values'!C$9),1,0)</f>
        <v>0</v>
      </c>
      <c r="I30" s="77" t="e">
        <f>IF(F30=Year_Open_to_Traffic?,Calculations!$C$12,(I29+I29*G30))</f>
        <v>#DIV/0!</v>
      </c>
      <c r="J30" s="77" t="e">
        <f>I30*'Assumed Values'!$C$8</f>
        <v>#DIV/0!</v>
      </c>
      <c r="K30" s="93" t="e">
        <f t="shared" si="2"/>
        <v>#DIV/0!</v>
      </c>
      <c r="L30" s="79" t="e">
        <f>(K30*H30)*'Assumed Values'!$C$6</f>
        <v>#DIV/0!</v>
      </c>
      <c r="M30" s="80" t="e">
        <f t="shared" si="3"/>
        <v>#DIV/0!</v>
      </c>
      <c r="N30" s="77" t="e">
        <f>I30*'Assumed Values'!$C$7</f>
        <v>#DIV/0!</v>
      </c>
      <c r="O30" s="93" t="e">
        <f t="shared" si="4"/>
        <v>#DIV/0!</v>
      </c>
      <c r="P30" s="79" t="e">
        <f>(O30*H30)*'Assumed Values'!$C$5</f>
        <v>#DIV/0!</v>
      </c>
      <c r="Q30" s="80" t="e">
        <f t="shared" si="0"/>
        <v>#DIV/0!</v>
      </c>
    </row>
    <row r="31" spans="2:17" x14ac:dyDescent="0.25">
      <c r="F31" s="74">
        <f t="shared" si="1"/>
        <v>2044</v>
      </c>
      <c r="G31" s="75" t="e">
        <f t="shared" si="6"/>
        <v>#DIV/0!</v>
      </c>
      <c r="H31" s="73">
        <f>IF(AND(F31&gt;=Year_Open_to_Traffic?,F31&lt;Year_Open_to_Traffic?+'Assumed Values'!C$9),1,0)</f>
        <v>0</v>
      </c>
      <c r="I31" s="77" t="e">
        <f>IF(F31=Year_Open_to_Traffic?,Calculations!$C$12,(I30+I30*G31))</f>
        <v>#DIV/0!</v>
      </c>
      <c r="J31" s="77" t="e">
        <f>I31*'Assumed Values'!$C$8</f>
        <v>#DIV/0!</v>
      </c>
      <c r="K31" s="93" t="e">
        <f t="shared" si="2"/>
        <v>#DIV/0!</v>
      </c>
      <c r="L31" s="79" t="e">
        <f>(K31*H31)*'Assumed Values'!$C$6</f>
        <v>#DIV/0!</v>
      </c>
      <c r="M31" s="80" t="e">
        <f t="shared" si="3"/>
        <v>#DIV/0!</v>
      </c>
      <c r="N31" s="77" t="e">
        <f>I31*'Assumed Values'!$C$7</f>
        <v>#DIV/0!</v>
      </c>
      <c r="O31" s="93" t="e">
        <f t="shared" si="4"/>
        <v>#DIV/0!</v>
      </c>
      <c r="P31" s="79" t="e">
        <f>(O31*H31)*'Assumed Values'!$C$5</f>
        <v>#DIV/0!</v>
      </c>
      <c r="Q31" s="80" t="e">
        <f t="shared" si="0"/>
        <v>#DIV/0!</v>
      </c>
    </row>
    <row r="32" spans="2:17" x14ac:dyDescent="0.25">
      <c r="F32" s="74">
        <f t="shared" si="1"/>
        <v>2045</v>
      </c>
      <c r="G32" s="75" t="e">
        <f t="shared" si="6"/>
        <v>#DIV/0!</v>
      </c>
      <c r="H32" s="73">
        <f>IF(AND(F32&gt;=Year_Open_to_Traffic?,F32&lt;Year_Open_to_Traffic?+'Assumed Values'!C$9),1,0)</f>
        <v>0</v>
      </c>
      <c r="I32" s="77" t="e">
        <f>IF(F32=Year_Open_to_Traffic?,Calculations!$C$12,(I31+I31*G32))</f>
        <v>#DIV/0!</v>
      </c>
      <c r="J32" s="77" t="e">
        <f>I32*'Assumed Values'!$C$8</f>
        <v>#DIV/0!</v>
      </c>
      <c r="K32" s="93" t="e">
        <f t="shared" si="2"/>
        <v>#DIV/0!</v>
      </c>
      <c r="L32" s="79" t="e">
        <f>(K32*H32)*'Assumed Values'!$C$6</f>
        <v>#DIV/0!</v>
      </c>
      <c r="M32" s="80" t="e">
        <f t="shared" si="3"/>
        <v>#DIV/0!</v>
      </c>
      <c r="N32" s="77" t="e">
        <f>I32*'Assumed Values'!$C$7</f>
        <v>#DIV/0!</v>
      </c>
      <c r="O32" s="93" t="e">
        <f t="shared" si="4"/>
        <v>#DIV/0!</v>
      </c>
      <c r="P32" s="79" t="e">
        <f>(O32*H32)*'Assumed Values'!$C$5</f>
        <v>#DIV/0!</v>
      </c>
      <c r="Q32" s="80" t="e">
        <f t="shared" si="0"/>
        <v>#DIV/0!</v>
      </c>
    </row>
    <row r="33" spans="6:17" x14ac:dyDescent="0.25">
      <c r="F33" s="74">
        <f t="shared" si="1"/>
        <v>2046</v>
      </c>
      <c r="G33" s="75" t="e">
        <f t="shared" si="6"/>
        <v>#DIV/0!</v>
      </c>
      <c r="H33" s="73">
        <f>IF(AND(F33&gt;=Year_Open_to_Traffic?,F33&lt;Year_Open_to_Traffic?+'Assumed Values'!C$9),1,0)</f>
        <v>0</v>
      </c>
      <c r="I33" s="77" t="e">
        <f>IF(F33=Year_Open_to_Traffic?,Calculations!$C$12,(I32+I32*G33))</f>
        <v>#DIV/0!</v>
      </c>
      <c r="J33" s="77" t="e">
        <f>I33*'Assumed Values'!$C$8</f>
        <v>#DIV/0!</v>
      </c>
      <c r="K33" s="93" t="e">
        <f t="shared" si="2"/>
        <v>#DIV/0!</v>
      </c>
      <c r="L33" s="79" t="e">
        <f>(K33*H33)*'Assumed Values'!$C$6</f>
        <v>#DIV/0!</v>
      </c>
      <c r="M33" s="80" t="e">
        <f t="shared" si="3"/>
        <v>#DIV/0!</v>
      </c>
      <c r="N33" s="77" t="e">
        <f>I33*'Assumed Values'!$C$7</f>
        <v>#DIV/0!</v>
      </c>
      <c r="O33" s="93" t="e">
        <f t="shared" si="4"/>
        <v>#DIV/0!</v>
      </c>
      <c r="P33" s="79" t="e">
        <f>(O33*H33)*'Assumed Values'!$C$5</f>
        <v>#DIV/0!</v>
      </c>
      <c r="Q33" s="80" t="e">
        <f t="shared" si="0"/>
        <v>#DIV/0!</v>
      </c>
    </row>
    <row r="34" spans="6:17" x14ac:dyDescent="0.25">
      <c r="F34" s="74">
        <f t="shared" si="1"/>
        <v>2047</v>
      </c>
      <c r="G34" s="75" t="e">
        <f t="shared" si="6"/>
        <v>#DIV/0!</v>
      </c>
      <c r="H34" s="73">
        <f>IF(AND(F34&gt;=Year_Open_to_Traffic?,F34&lt;Year_Open_to_Traffic?+'Assumed Values'!C$9),1,0)</f>
        <v>0</v>
      </c>
      <c r="I34" s="77" t="e">
        <f>IF(F34=Year_Open_to_Traffic?,Calculations!$C$12,(I33+I33*G34))</f>
        <v>#DIV/0!</v>
      </c>
      <c r="J34" s="77" t="e">
        <f>I34*'Assumed Values'!$C$8</f>
        <v>#DIV/0!</v>
      </c>
      <c r="K34" s="93" t="e">
        <f t="shared" si="2"/>
        <v>#DIV/0!</v>
      </c>
      <c r="L34" s="79" t="e">
        <f>(K34*H34)*'Assumed Values'!$C$6</f>
        <v>#DIV/0!</v>
      </c>
      <c r="M34" s="80" t="e">
        <f t="shared" si="3"/>
        <v>#DIV/0!</v>
      </c>
      <c r="N34" s="77" t="e">
        <f>I34*'Assumed Values'!$C$7</f>
        <v>#DIV/0!</v>
      </c>
      <c r="O34" s="93" t="e">
        <f t="shared" si="4"/>
        <v>#DIV/0!</v>
      </c>
      <c r="P34" s="79" t="e">
        <f>(O34*H34)*'Assumed Values'!$C$5</f>
        <v>#DIV/0!</v>
      </c>
      <c r="Q34" s="80" t="e">
        <f t="shared" si="0"/>
        <v>#DIV/0!</v>
      </c>
    </row>
    <row r="35" spans="6:17" x14ac:dyDescent="0.25">
      <c r="F35" s="74">
        <f t="shared" si="1"/>
        <v>2048</v>
      </c>
      <c r="G35" s="75" t="e">
        <f t="shared" si="6"/>
        <v>#DIV/0!</v>
      </c>
      <c r="H35" s="73">
        <f>IF(AND(F35&gt;=Year_Open_to_Traffic?,F35&lt;Year_Open_to_Traffic?+'Assumed Values'!C$9),1,0)</f>
        <v>0</v>
      </c>
      <c r="I35" s="77" t="e">
        <f>IF(F35=Year_Open_to_Traffic?,Calculations!$C$12,(I34+I34*G35))</f>
        <v>#DIV/0!</v>
      </c>
      <c r="J35" s="77" t="e">
        <f>I35*'Assumed Values'!$C$8</f>
        <v>#DIV/0!</v>
      </c>
      <c r="K35" s="93" t="e">
        <f t="shared" si="2"/>
        <v>#DIV/0!</v>
      </c>
      <c r="L35" s="79" t="e">
        <f>(K35*H35)*'Assumed Values'!$C$6</f>
        <v>#DIV/0!</v>
      </c>
      <c r="M35" s="80" t="e">
        <f t="shared" si="3"/>
        <v>#DIV/0!</v>
      </c>
      <c r="N35" s="77" t="e">
        <f>I35*'Assumed Values'!$C$7</f>
        <v>#DIV/0!</v>
      </c>
      <c r="O35" s="93" t="e">
        <f t="shared" si="4"/>
        <v>#DIV/0!</v>
      </c>
      <c r="P35" s="79" t="e">
        <f>(O35*H35)*'Assumed Values'!$C$5</f>
        <v>#DIV/0!</v>
      </c>
      <c r="Q35" s="80" t="e">
        <f t="shared" si="0"/>
        <v>#DIV/0!</v>
      </c>
    </row>
    <row r="36" spans="6:17" x14ac:dyDescent="0.25">
      <c r="F36" s="74">
        <f t="shared" si="1"/>
        <v>2049</v>
      </c>
      <c r="G36" s="75" t="e">
        <f t="shared" si="6"/>
        <v>#DIV/0!</v>
      </c>
      <c r="H36" s="73">
        <f>IF(AND(F36&gt;=Year_Open_to_Traffic?,F36&lt;Year_Open_to_Traffic?+'Assumed Values'!C$9),1,0)</f>
        <v>0</v>
      </c>
      <c r="I36" s="77" t="e">
        <f>IF(F36=Year_Open_to_Traffic?,Calculations!$C$12,(I35+I35*G36))</f>
        <v>#DIV/0!</v>
      </c>
      <c r="J36" s="77" t="e">
        <f>I36*'Assumed Values'!$C$8</f>
        <v>#DIV/0!</v>
      </c>
      <c r="K36" s="93" t="e">
        <f t="shared" si="2"/>
        <v>#DIV/0!</v>
      </c>
      <c r="L36" s="79" t="e">
        <f>(K36*H36)*'Assumed Values'!$C$6</f>
        <v>#DIV/0!</v>
      </c>
      <c r="M36" s="80" t="e">
        <f t="shared" si="3"/>
        <v>#DIV/0!</v>
      </c>
      <c r="N36" s="77" t="e">
        <f>I36*'Assumed Values'!$C$7</f>
        <v>#DIV/0!</v>
      </c>
      <c r="O36" s="93" t="e">
        <f t="shared" si="4"/>
        <v>#DIV/0!</v>
      </c>
      <c r="P36" s="79" t="e">
        <f>(O36*H36)*'Assumed Values'!$C$5</f>
        <v>#DIV/0!</v>
      </c>
      <c r="Q36" s="80" t="e">
        <f t="shared" si="0"/>
        <v>#DIV/0!</v>
      </c>
    </row>
    <row r="37" spans="6:17" x14ac:dyDescent="0.25">
      <c r="F37" s="74">
        <f t="shared" si="1"/>
        <v>2050</v>
      </c>
      <c r="G37" s="75" t="e">
        <f t="shared" si="6"/>
        <v>#DIV/0!</v>
      </c>
      <c r="H37" s="73">
        <f>IF(AND(F37&gt;=Year_Open_to_Traffic?,F37&lt;Year_Open_to_Traffic?+'Assumed Values'!C$9),1,0)</f>
        <v>0</v>
      </c>
      <c r="I37" s="77" t="e">
        <f>IF(F37=Year_Open_to_Traffic?,Calculations!$C$12,(I36+I36*G37))</f>
        <v>#DIV/0!</v>
      </c>
      <c r="J37" s="77" t="e">
        <f>I37*'Assumed Values'!$C$8</f>
        <v>#DIV/0!</v>
      </c>
      <c r="K37" s="93" t="e">
        <f t="shared" si="2"/>
        <v>#DIV/0!</v>
      </c>
      <c r="L37" s="79" t="e">
        <f>(K37*H37)*'Assumed Values'!$C$6</f>
        <v>#DIV/0!</v>
      </c>
      <c r="M37" s="80" t="e">
        <f t="shared" si="3"/>
        <v>#DIV/0!</v>
      </c>
      <c r="N37" s="77" t="e">
        <f>I37*'Assumed Values'!$C$7</f>
        <v>#DIV/0!</v>
      </c>
      <c r="O37" s="93" t="e">
        <f t="shared" si="4"/>
        <v>#DIV/0!</v>
      </c>
      <c r="P37" s="79" t="e">
        <f>(O37*H37)*'Assumed Values'!$C$5</f>
        <v>#DIV/0!</v>
      </c>
      <c r="Q37" s="80" t="e">
        <f t="shared" si="0"/>
        <v>#DIV/0!</v>
      </c>
    </row>
    <row r="38" spans="6:17" x14ac:dyDescent="0.25">
      <c r="F38" s="13" t="s">
        <v>63</v>
      </c>
      <c r="G38" s="13"/>
      <c r="H38" s="77"/>
      <c r="I38" s="76"/>
      <c r="J38" s="77"/>
      <c r="K38" s="78" t="e">
        <f>SUM(K5:K37)</f>
        <v>#DIV/0!</v>
      </c>
      <c r="L38" s="79" t="e">
        <f>SUM(L5:L37)</f>
        <v>#DIV/0!</v>
      </c>
      <c r="M38" s="80" t="e">
        <f>SUM(M5:M37)</f>
        <v>#DIV/0!</v>
      </c>
      <c r="N38" s="77"/>
      <c r="O38" s="78" t="e">
        <f>SUM(O5:O37)</f>
        <v>#DIV/0!</v>
      </c>
      <c r="P38" s="79" t="e">
        <f>SUM(P5:P37)</f>
        <v>#DIV/0!</v>
      </c>
      <c r="Q38" s="80" t="e">
        <f>SUM(Q5:Q37)</f>
        <v>#DIV/0!</v>
      </c>
    </row>
    <row r="43" spans="6:17" x14ac:dyDescent="0.25">
      <c r="K43" s="87"/>
    </row>
    <row r="44" spans="6:17" x14ac:dyDescent="0.25">
      <c r="J44" s="85"/>
      <c r="K44" s="85"/>
    </row>
    <row r="45" spans="6:17" x14ac:dyDescent="0.25">
      <c r="J45" s="85"/>
    </row>
    <row r="46" spans="6:17" x14ac:dyDescent="0.25">
      <c r="J46" s="86"/>
    </row>
  </sheetData>
  <sheetProtection algorithmName="SHA-512" hashValue="FHq0jMI3eH3wswWNSwHMvHMPWKqN1bHH19WALkz7ixnvTWAkfmCgKDo6BO4Fv2YIQ0tRXfuw4oy9AnxfR54isQ==" saltValue="ruA11alUYAZe275vF8QH6w==" spinCount="100000" sheet="1" objects="1" scenarios="1"/>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D24"/>
  <sheetViews>
    <sheetView zoomScaleNormal="100" workbookViewId="0">
      <selection activeCell="H16" sqref="H16"/>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101</v>
      </c>
    </row>
    <row r="4" spans="2:4" x14ac:dyDescent="0.25">
      <c r="B4" s="28" t="s">
        <v>23</v>
      </c>
    </row>
    <row r="5" spans="2:4" x14ac:dyDescent="0.25">
      <c r="B5" s="30" t="s">
        <v>110</v>
      </c>
      <c r="C5" s="31">
        <f>'Value of Emissions'!C4</f>
        <v>1905</v>
      </c>
    </row>
    <row r="6" spans="2:4" x14ac:dyDescent="0.25">
      <c r="B6" s="30" t="s">
        <v>118</v>
      </c>
      <c r="C6" s="31">
        <f>'Value of Emissions'!C5</f>
        <v>7508</v>
      </c>
    </row>
    <row r="7" spans="2:4" x14ac:dyDescent="0.25">
      <c r="B7" s="29" t="s">
        <v>26</v>
      </c>
      <c r="C7" s="84">
        <f>IF('Assumed Values'!C10="Non Freeway",INDEX('Emission Factors - VOC'!C22:J37,MATCH('Inputs &amp; Outputs'!B16,'Emission Factors - VOC'!B22:B37,1),MATCH('Inputs &amp; Outputs'!B9,'Emission Factors - VOC'!C21:J21,0)),INDEX('Emission Factors - VOC'!C3:J18,MATCH('Inputs &amp; Outputs'!B16,'Emission Factors - VOC'!B3:B18,1),MATCH('Inputs &amp; Outputs'!B9,'Emission Factors - VOC'!C2:J2,0)))</f>
        <v>1.13278999925E-2</v>
      </c>
      <c r="D7" s="114" t="s">
        <v>78</v>
      </c>
    </row>
    <row r="8" spans="2:4" x14ac:dyDescent="0.25">
      <c r="B8" s="29" t="s">
        <v>27</v>
      </c>
      <c r="C8" s="84">
        <f>IF('Assumed Values'!C10="Non Freeway",INDEX('Emission Factors - NOx'!C22:J37,MATCH('Inputs &amp; Outputs'!B16,'Emission Factors - NOx'!B22:B37,1),MATCH('Inputs &amp; Outputs'!B9,'Emission Factors - NOx'!C21:J21,0)),INDEX('Emission Factors - NOx'!C3:J18,MATCH('Inputs &amp; Outputs'!B16,'Emission Factors - NOx'!B3:B18,1),MATCH('Inputs &amp; Outputs'!B9,'Emission Factors - NOx'!C2:J2,0)))</f>
        <v>5.9708300977900003E-2</v>
      </c>
      <c r="D8" s="114"/>
    </row>
    <row r="9" spans="2:4" x14ac:dyDescent="0.25">
      <c r="B9" s="29" t="s">
        <v>61</v>
      </c>
      <c r="C9" s="30">
        <f>'Inputs &amp; Outputs'!$B$17</f>
        <v>12</v>
      </c>
    </row>
    <row r="10" spans="2:4" x14ac:dyDescent="0.25">
      <c r="B10" s="29" t="s">
        <v>79</v>
      </c>
      <c r="C10" s="56" t="str">
        <f>'Inputs &amp; Outputs'!B15</f>
        <v>Non Freeway</v>
      </c>
    </row>
    <row r="11" spans="2:4" s="91" customFormat="1" x14ac:dyDescent="0.25">
      <c r="B11" s="94"/>
      <c r="C11" s="95"/>
    </row>
    <row r="12" spans="2:4" s="91" customFormat="1" x14ac:dyDescent="0.25">
      <c r="B12" s="15" t="s">
        <v>4</v>
      </c>
      <c r="C12"/>
    </row>
    <row r="13" spans="2:4" s="91" customFormat="1" x14ac:dyDescent="0.25">
      <c r="B13" s="16" t="s">
        <v>113</v>
      </c>
      <c r="C13" s="16">
        <v>1.39</v>
      </c>
    </row>
    <row r="14" spans="2:4" s="91" customFormat="1" x14ac:dyDescent="0.25">
      <c r="B14" s="16" t="s">
        <v>112</v>
      </c>
      <c r="C14" s="16">
        <v>260</v>
      </c>
    </row>
    <row r="16" spans="2:4" ht="75" x14ac:dyDescent="0.25">
      <c r="D16" s="51" t="s">
        <v>24</v>
      </c>
    </row>
    <row r="24" spans="2:2" x14ac:dyDescent="0.25">
      <c r="B24" s="91"/>
    </row>
  </sheetData>
  <sheetProtection algorithmName="SHA-512" hashValue="la63FHc0zlHlSmR4gCoJGdxdKTgpd1TcPgL1xhN+VcOXc3WSjnjabJhzjRPGC1pYQRZi5QE7jt423wS+TXQoLA==" saltValue="fj7MLgFD7LGWa+9O/m+a/g==" spinCount="100000" sheet="1" objects="1" scenarios="1"/>
  <mergeCells count="1">
    <mergeCell ref="D7:D8"/>
  </mergeCells>
  <hyperlinks>
    <hyperlink ref="D16" r:id="rId1" location="page=8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1:E11"/>
  <sheetViews>
    <sheetView workbookViewId="0">
      <selection activeCell="B8" sqref="B8"/>
    </sheetView>
  </sheetViews>
  <sheetFormatPr defaultRowHeight="15" x14ac:dyDescent="0.25"/>
  <cols>
    <col min="1" max="1" width="2.85546875" customWidth="1"/>
    <col min="2" max="2" width="33.7109375" customWidth="1"/>
    <col min="3" max="3" width="20" bestFit="1" customWidth="1"/>
  </cols>
  <sheetData>
    <row r="1" spans="2:5" x14ac:dyDescent="0.25">
      <c r="B1" s="3" t="s">
        <v>25</v>
      </c>
    </row>
    <row r="2" spans="2:5" x14ac:dyDescent="0.25">
      <c r="B2" s="3"/>
    </row>
    <row r="3" spans="2:5" x14ac:dyDescent="0.25">
      <c r="B3" s="32" t="s">
        <v>0</v>
      </c>
      <c r="C3" s="32" t="s">
        <v>102</v>
      </c>
    </row>
    <row r="4" spans="2:5" x14ac:dyDescent="0.25">
      <c r="B4" s="30" t="s">
        <v>1</v>
      </c>
      <c r="C4" s="81">
        <v>1905</v>
      </c>
    </row>
    <row r="5" spans="2:5" x14ac:dyDescent="0.25">
      <c r="B5" s="30" t="s">
        <v>2</v>
      </c>
      <c r="C5" s="81">
        <v>7508</v>
      </c>
    </row>
    <row r="8" spans="2:5" x14ac:dyDescent="0.25">
      <c r="B8" s="90" t="s">
        <v>107</v>
      </c>
    </row>
    <row r="9" spans="2:5" x14ac:dyDescent="0.25">
      <c r="B9" s="89"/>
    </row>
    <row r="11" spans="2:5" x14ac:dyDescent="0.25">
      <c r="E11" s="58"/>
    </row>
  </sheetData>
  <sheetProtection algorithmName="SHA-512" hashValue="qNdixZehR/p2DXVpRQ4rM/nUqU29vVJnHFOlcH0WbZ73KKyrmy/Jx3qQwDXwtCPTjIwC+ojA5kpUt6uILyyn1Q==" saltValue="eYSSO8hpTzW9iJ29XnSJXg==" spinCount="100000" sheet="1" selectLockedCells="1" selectUnlockedCells="1"/>
  <hyperlinks>
    <hyperlink ref="B8" r:id="rId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A1:N38"/>
  <sheetViews>
    <sheetView workbookViewId="0">
      <selection sqref="A1:J1"/>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 min="14" max="14" width="30" customWidth="1"/>
  </cols>
  <sheetData>
    <row r="1" spans="1:14" s="91" customFormat="1" x14ac:dyDescent="0.25">
      <c r="A1" s="115" t="s">
        <v>121</v>
      </c>
      <c r="B1" s="115"/>
      <c r="C1" s="115"/>
      <c r="D1" s="115"/>
      <c r="E1" s="115"/>
      <c r="F1" s="115"/>
      <c r="G1" s="115"/>
      <c r="H1" s="115"/>
      <c r="I1" s="115"/>
      <c r="J1" s="115"/>
    </row>
    <row r="2" spans="1:14" x14ac:dyDescent="0.25">
      <c r="A2" s="97" t="s">
        <v>79</v>
      </c>
      <c r="B2" s="97" t="s">
        <v>80</v>
      </c>
      <c r="C2" s="110" t="s">
        <v>69</v>
      </c>
      <c r="D2" s="110" t="s">
        <v>70</v>
      </c>
      <c r="E2" s="110" t="s">
        <v>71</v>
      </c>
      <c r="F2" s="110" t="s">
        <v>72</v>
      </c>
      <c r="G2" s="110" t="s">
        <v>73</v>
      </c>
      <c r="H2" s="110" t="s">
        <v>74</v>
      </c>
      <c r="I2" s="110" t="s">
        <v>75</v>
      </c>
      <c r="J2" s="110" t="s">
        <v>76</v>
      </c>
    </row>
    <row r="3" spans="1:14" x14ac:dyDescent="0.25">
      <c r="A3" s="76" t="s">
        <v>82</v>
      </c>
      <c r="B3" s="76">
        <v>0</v>
      </c>
      <c r="C3" s="111">
        <v>0.1543390005827</v>
      </c>
      <c r="D3" s="111">
        <v>0.1766420006752</v>
      </c>
      <c r="E3" s="111">
        <v>0.14361999928950001</v>
      </c>
      <c r="F3" s="111">
        <v>0.1637820005417</v>
      </c>
      <c r="G3" s="111">
        <v>0.15261900424960001</v>
      </c>
      <c r="H3" s="111">
        <v>0.24541099369530001</v>
      </c>
      <c r="I3" s="111">
        <v>0.15000799298289999</v>
      </c>
      <c r="J3" s="111">
        <v>0.2771849930286</v>
      </c>
    </row>
    <row r="4" spans="1:14" x14ac:dyDescent="0.25">
      <c r="A4" s="76" t="s">
        <v>82</v>
      </c>
      <c r="B4" s="76">
        <v>2.5</v>
      </c>
      <c r="C4" s="111">
        <v>0.1086599975824</v>
      </c>
      <c r="D4" s="111">
        <v>0.12391699850560001</v>
      </c>
      <c r="E4" s="111">
        <v>0.10345199704169999</v>
      </c>
      <c r="F4" s="111">
        <v>0.11453600227830001</v>
      </c>
      <c r="G4" s="111">
        <v>0.1079860031605</v>
      </c>
      <c r="H4" s="111">
        <v>0.1695860028267</v>
      </c>
      <c r="I4" s="111">
        <v>0.1054000034928</v>
      </c>
      <c r="J4" s="111">
        <v>0.19025099277499999</v>
      </c>
      <c r="L4" s="2" t="s">
        <v>104</v>
      </c>
      <c r="N4" t="s">
        <v>108</v>
      </c>
    </row>
    <row r="5" spans="1:14" x14ac:dyDescent="0.25">
      <c r="A5" s="76" t="s">
        <v>82</v>
      </c>
      <c r="B5" s="76">
        <v>7.5</v>
      </c>
      <c r="C5" s="111">
        <v>8.0234602093699994E-2</v>
      </c>
      <c r="D5" s="111">
        <v>9.1219902038600004E-2</v>
      </c>
      <c r="E5" s="111">
        <v>7.7690400183200004E-2</v>
      </c>
      <c r="F5" s="111">
        <v>8.4131397306899905E-2</v>
      </c>
      <c r="G5" s="111">
        <v>8.0075398087499999E-2</v>
      </c>
      <c r="H5" s="111">
        <v>0.12355700135229999</v>
      </c>
      <c r="I5" s="111">
        <v>7.7676698565499996E-2</v>
      </c>
      <c r="J5" s="111">
        <v>0.13789600133899901</v>
      </c>
      <c r="L5" t="s">
        <v>83</v>
      </c>
    </row>
    <row r="6" spans="1:14" x14ac:dyDescent="0.25">
      <c r="A6" s="76" t="s">
        <v>82</v>
      </c>
      <c r="B6" s="76">
        <v>12.5</v>
      </c>
      <c r="C6" s="111">
        <v>5.9946801513399997E-2</v>
      </c>
      <c r="D6" s="111">
        <v>6.8060502409899998E-2</v>
      </c>
      <c r="E6" s="111">
        <v>5.8113399892999899E-2</v>
      </c>
      <c r="F6" s="111">
        <v>6.2804102897599995E-2</v>
      </c>
      <c r="G6" s="111">
        <v>5.9942800551699899E-2</v>
      </c>
      <c r="H6" s="111">
        <v>9.2500299215299994E-2</v>
      </c>
      <c r="I6" s="111">
        <v>5.7944800704699997E-2</v>
      </c>
      <c r="J6" s="111">
        <v>0.1032399982214</v>
      </c>
      <c r="L6" t="s">
        <v>82</v>
      </c>
    </row>
    <row r="7" spans="1:14" x14ac:dyDescent="0.25">
      <c r="A7" s="76" t="s">
        <v>82</v>
      </c>
      <c r="B7" s="76">
        <v>17.5</v>
      </c>
      <c r="C7" s="111">
        <v>5.1043801009699998E-2</v>
      </c>
      <c r="D7" s="111">
        <v>5.7916298508599903E-2</v>
      </c>
      <c r="E7" s="111">
        <v>4.9766298383499899E-2</v>
      </c>
      <c r="F7" s="111">
        <v>5.3397301584499998E-2</v>
      </c>
      <c r="G7" s="111">
        <v>5.1048498600699897E-2</v>
      </c>
      <c r="H7" s="111">
        <v>7.8144997358299995E-2</v>
      </c>
      <c r="I7" s="111">
        <v>4.9361400306199898E-2</v>
      </c>
      <c r="J7" s="111">
        <v>8.7070100009399895E-2</v>
      </c>
    </row>
    <row r="8" spans="1:14" x14ac:dyDescent="0.25">
      <c r="A8" s="76" t="s">
        <v>82</v>
      </c>
      <c r="B8" s="76">
        <v>22.5</v>
      </c>
      <c r="C8" s="111">
        <v>5.1097799092499903E-2</v>
      </c>
      <c r="D8" s="111">
        <v>5.7926900684799998E-2</v>
      </c>
      <c r="E8" s="111">
        <v>5.0204999744899899E-2</v>
      </c>
      <c r="F8" s="111">
        <v>5.3334001451699899E-2</v>
      </c>
      <c r="G8" s="111">
        <v>5.11665008962E-2</v>
      </c>
      <c r="H8" s="111">
        <v>7.7644199132899994E-2</v>
      </c>
      <c r="I8" s="111">
        <v>4.93994988500999E-2</v>
      </c>
      <c r="J8" s="111">
        <v>8.62753018737E-2</v>
      </c>
    </row>
    <row r="9" spans="1:14" x14ac:dyDescent="0.25">
      <c r="A9" s="76" t="s">
        <v>82</v>
      </c>
      <c r="B9" s="76">
        <v>27.5</v>
      </c>
      <c r="C9" s="111">
        <v>5.1728200167399999E-2</v>
      </c>
      <c r="D9" s="111">
        <v>5.8605000376699898E-2</v>
      </c>
      <c r="E9" s="111">
        <v>5.1094498485299997E-2</v>
      </c>
      <c r="F9" s="111">
        <v>5.3906898945599899E-2</v>
      </c>
      <c r="G9" s="111">
        <v>5.1847200840699999E-2</v>
      </c>
      <c r="H9" s="111">
        <v>7.8214697539799996E-2</v>
      </c>
      <c r="I9" s="111">
        <v>4.9995001405499999E-2</v>
      </c>
      <c r="J9" s="111">
        <v>8.6740396916899998E-2</v>
      </c>
    </row>
    <row r="10" spans="1:14" x14ac:dyDescent="0.25">
      <c r="A10" s="76" t="s">
        <v>82</v>
      </c>
      <c r="B10" s="76">
        <v>32.5</v>
      </c>
      <c r="C10" s="111">
        <v>5.4905500263E-2</v>
      </c>
      <c r="D10" s="111">
        <v>6.2172401696400002E-2</v>
      </c>
      <c r="E10" s="111">
        <v>5.4688699543500002E-2</v>
      </c>
      <c r="F10" s="111">
        <v>5.7079099118700002E-2</v>
      </c>
      <c r="G10" s="111">
        <v>5.5083200335500002E-2</v>
      </c>
      <c r="H10" s="111">
        <v>8.2320302724799996E-2</v>
      </c>
      <c r="I10" s="111">
        <v>5.30656985939E-2</v>
      </c>
      <c r="J10" s="111">
        <v>9.0985298156700006E-2</v>
      </c>
    </row>
    <row r="11" spans="1:14" x14ac:dyDescent="0.25">
      <c r="A11" s="76" t="s">
        <v>82</v>
      </c>
      <c r="B11" s="76">
        <v>37.5</v>
      </c>
      <c r="C11" s="111">
        <v>5.75537011027E-2</v>
      </c>
      <c r="D11" s="111">
        <v>6.5147697925600004E-2</v>
      </c>
      <c r="E11" s="111">
        <v>5.7672001421499898E-2</v>
      </c>
      <c r="F11" s="111">
        <v>5.9726800769599998E-2</v>
      </c>
      <c r="G11" s="111">
        <v>5.7777501642699999E-2</v>
      </c>
      <c r="H11" s="111">
        <v>8.5759103298199996E-2</v>
      </c>
      <c r="I11" s="111">
        <v>5.5625900626200001E-2</v>
      </c>
      <c r="J11" s="111">
        <v>9.4549298286399894E-2</v>
      </c>
    </row>
    <row r="12" spans="1:14" x14ac:dyDescent="0.25">
      <c r="A12" s="76" t="s">
        <v>82</v>
      </c>
      <c r="B12" s="76">
        <v>42.5</v>
      </c>
      <c r="C12" s="111">
        <v>5.9613399207599997E-2</v>
      </c>
      <c r="D12" s="111">
        <v>6.7461803555499994E-2</v>
      </c>
      <c r="E12" s="111">
        <v>5.9992399066699897E-2</v>
      </c>
      <c r="F12" s="111">
        <v>6.17861002684E-2</v>
      </c>
      <c r="G12" s="111">
        <v>5.9873100370199897E-2</v>
      </c>
      <c r="H12" s="111">
        <v>8.8433697819699994E-2</v>
      </c>
      <c r="I12" s="111">
        <v>5.7617198675899997E-2</v>
      </c>
      <c r="J12" s="111">
        <v>9.7321398556200006E-2</v>
      </c>
    </row>
    <row r="13" spans="1:14" x14ac:dyDescent="0.25">
      <c r="A13" s="76" t="s">
        <v>82</v>
      </c>
      <c r="B13" s="76">
        <v>47.5</v>
      </c>
      <c r="C13" s="111">
        <v>6.0430999845300003E-2</v>
      </c>
      <c r="D13" s="111">
        <v>6.8381600081900001E-2</v>
      </c>
      <c r="E13" s="111">
        <v>6.0961898416300002E-2</v>
      </c>
      <c r="F13" s="111">
        <v>6.2589801847900001E-2</v>
      </c>
      <c r="G13" s="111">
        <v>6.0706000775100001E-2</v>
      </c>
      <c r="H13" s="111">
        <v>8.9415296912200001E-2</v>
      </c>
      <c r="I13" s="111">
        <v>5.8410998433800002E-2</v>
      </c>
      <c r="J13" s="111">
        <v>9.8296396434300007E-2</v>
      </c>
    </row>
    <row r="14" spans="1:14" x14ac:dyDescent="0.25">
      <c r="A14" s="76" t="s">
        <v>82</v>
      </c>
      <c r="B14" s="76">
        <v>52.5</v>
      </c>
      <c r="C14" s="111">
        <v>6.0879200696899997E-2</v>
      </c>
      <c r="D14" s="111">
        <v>6.8886503577199998E-2</v>
      </c>
      <c r="E14" s="111">
        <v>6.1519298702499899E-2</v>
      </c>
      <c r="F14" s="111">
        <v>6.3022799789899997E-2</v>
      </c>
      <c r="G14" s="111">
        <v>6.1163198202800001E-2</v>
      </c>
      <c r="H14" s="111">
        <v>8.9910499751599995E-2</v>
      </c>
      <c r="I14" s="111">
        <v>5.8847900479999903E-2</v>
      </c>
      <c r="J14" s="111">
        <v>0.10097900033</v>
      </c>
    </row>
    <row r="15" spans="1:14" x14ac:dyDescent="0.25">
      <c r="A15" s="76" t="s">
        <v>82</v>
      </c>
      <c r="B15" s="76">
        <v>57.5</v>
      </c>
      <c r="C15" s="111">
        <v>6.2555797398099994E-2</v>
      </c>
      <c r="D15" s="111">
        <v>7.07803964615E-2</v>
      </c>
      <c r="E15" s="111">
        <v>6.3405096530899999E-2</v>
      </c>
      <c r="F15" s="111">
        <v>6.4703896641699996E-2</v>
      </c>
      <c r="G15" s="111">
        <v>6.2855303287499997E-2</v>
      </c>
      <c r="H15" s="111">
        <v>9.2053197324299896E-2</v>
      </c>
      <c r="I15" s="111">
        <v>6.0479998588600002E-2</v>
      </c>
      <c r="J15" s="111">
        <v>9.8763801157499997E-2</v>
      </c>
    </row>
    <row r="16" spans="1:14" x14ac:dyDescent="0.25">
      <c r="A16" s="76" t="s">
        <v>82</v>
      </c>
      <c r="B16" s="76">
        <v>62.5</v>
      </c>
      <c r="C16" s="111">
        <v>6.8795002996900001E-2</v>
      </c>
      <c r="D16" s="111">
        <v>7.7838197350500002E-2</v>
      </c>
      <c r="E16" s="111">
        <v>7.0255100727100006E-2</v>
      </c>
      <c r="F16" s="111">
        <v>7.1012601256399993E-2</v>
      </c>
      <c r="G16" s="111">
        <v>6.9134101271599996E-2</v>
      </c>
      <c r="H16" s="111">
        <v>0.100268997251999</v>
      </c>
      <c r="I16" s="111">
        <v>6.65547996759E-2</v>
      </c>
      <c r="J16" s="111">
        <v>0.1096099987626</v>
      </c>
    </row>
    <row r="17" spans="1:11" x14ac:dyDescent="0.25">
      <c r="A17" s="76" t="s">
        <v>82</v>
      </c>
      <c r="B17" s="76">
        <v>67.5</v>
      </c>
      <c r="C17" s="111">
        <v>8.0537199974099999E-2</v>
      </c>
      <c r="D17" s="111">
        <v>9.1143198311299994E-2</v>
      </c>
      <c r="E17" s="111">
        <v>8.3084799349300006E-2</v>
      </c>
      <c r="F17" s="111">
        <v>8.29145982862E-2</v>
      </c>
      <c r="G17" s="111">
        <v>8.0914698541199995E-2</v>
      </c>
      <c r="H17" s="111">
        <v>0.1157179996371</v>
      </c>
      <c r="I17" s="111">
        <v>7.8013703227000006E-2</v>
      </c>
      <c r="J17" s="111">
        <v>0.1258780062199</v>
      </c>
    </row>
    <row r="18" spans="1:11" x14ac:dyDescent="0.25">
      <c r="A18" s="76" t="s">
        <v>82</v>
      </c>
      <c r="B18" s="76">
        <v>72.5</v>
      </c>
      <c r="C18" s="111">
        <v>9.6295796334699896E-2</v>
      </c>
      <c r="D18" s="111">
        <v>0.10900399833920001</v>
      </c>
      <c r="E18" s="111">
        <v>0.10033699870109999</v>
      </c>
      <c r="F18" s="111">
        <v>9.8890498280500005E-2</v>
      </c>
      <c r="G18" s="111">
        <v>9.6715196967100001E-2</v>
      </c>
      <c r="H18" s="111">
        <v>0.13628999888900001</v>
      </c>
      <c r="I18" s="111">
        <v>9.3410201370699997E-2</v>
      </c>
      <c r="J18" s="111">
        <v>0.14751499891279901</v>
      </c>
    </row>
    <row r="19" spans="1:11" s="91" customFormat="1" x14ac:dyDescent="0.25">
      <c r="C19" s="46"/>
      <c r="D19" s="46"/>
      <c r="E19" s="46"/>
      <c r="F19" s="46"/>
      <c r="G19" s="46"/>
      <c r="H19" s="46"/>
      <c r="I19" s="46"/>
      <c r="J19" s="46"/>
    </row>
    <row r="20" spans="1:11" x14ac:dyDescent="0.25">
      <c r="A20" s="115" t="s">
        <v>121</v>
      </c>
      <c r="B20" s="115"/>
      <c r="C20" s="115"/>
      <c r="D20" s="115"/>
      <c r="E20" s="115"/>
      <c r="F20" s="115"/>
      <c r="G20" s="115"/>
      <c r="H20" s="115"/>
      <c r="I20" s="115"/>
      <c r="J20" s="115"/>
    </row>
    <row r="21" spans="1:11" x14ac:dyDescent="0.25">
      <c r="A21" s="97" t="s">
        <v>79</v>
      </c>
      <c r="B21" s="97" t="s">
        <v>80</v>
      </c>
      <c r="C21" s="110" t="s">
        <v>69</v>
      </c>
      <c r="D21" s="110" t="s">
        <v>70</v>
      </c>
      <c r="E21" s="110" t="s">
        <v>71</v>
      </c>
      <c r="F21" s="110" t="s">
        <v>72</v>
      </c>
      <c r="G21" s="110" t="s">
        <v>73</v>
      </c>
      <c r="H21" s="110" t="s">
        <v>74</v>
      </c>
      <c r="I21" s="110" t="s">
        <v>75</v>
      </c>
      <c r="J21" s="110" t="s">
        <v>76</v>
      </c>
    </row>
    <row r="22" spans="1:11" x14ac:dyDescent="0.25">
      <c r="A22" s="76" t="s">
        <v>83</v>
      </c>
      <c r="B22" s="76">
        <v>0</v>
      </c>
      <c r="C22" s="111">
        <v>0.1543390005827</v>
      </c>
      <c r="D22" s="111">
        <v>0.1766420006752</v>
      </c>
      <c r="E22" s="111">
        <v>0.14361999928950001</v>
      </c>
      <c r="F22" s="111">
        <v>0.1637820005417</v>
      </c>
      <c r="G22" s="111">
        <v>0.1526200026274</v>
      </c>
      <c r="H22" s="111">
        <v>0.24541099369530001</v>
      </c>
      <c r="I22" s="111">
        <v>0.15000799298289999</v>
      </c>
      <c r="J22" s="111">
        <v>0.2771849930286</v>
      </c>
    </row>
    <row r="23" spans="1:11" x14ac:dyDescent="0.25">
      <c r="A23" s="76" t="s">
        <v>83</v>
      </c>
      <c r="B23" s="76">
        <v>2.5</v>
      </c>
      <c r="C23" s="111">
        <v>0.1075349971652</v>
      </c>
      <c r="D23" s="111">
        <v>0.12261699885129999</v>
      </c>
      <c r="E23" s="111">
        <v>0.102482996881</v>
      </c>
      <c r="F23" s="111">
        <v>0.113332003355</v>
      </c>
      <c r="G23" s="111">
        <v>0.1068549975753</v>
      </c>
      <c r="H23" s="111">
        <v>0.16747200489039901</v>
      </c>
      <c r="I23" s="111">
        <v>0.104336000978899</v>
      </c>
      <c r="J23" s="111">
        <v>0.18784900009629901</v>
      </c>
    </row>
    <row r="24" spans="1:11" x14ac:dyDescent="0.25">
      <c r="A24" s="76" t="s">
        <v>83</v>
      </c>
      <c r="B24" s="76">
        <v>7.5</v>
      </c>
      <c r="C24" s="111">
        <v>8.4132499992799994E-2</v>
      </c>
      <c r="D24" s="111">
        <v>9.5605000853499905E-2</v>
      </c>
      <c r="E24" s="111">
        <v>8.1914603710199999E-2</v>
      </c>
      <c r="F24" s="111">
        <v>8.8106997311099999E-2</v>
      </c>
      <c r="G24" s="111">
        <v>8.3972498774499998E-2</v>
      </c>
      <c r="H24" s="111">
        <v>0.12850299477579999</v>
      </c>
      <c r="I24" s="111">
        <v>8.1499502062800003E-2</v>
      </c>
      <c r="J24" s="111">
        <v>0.14317999780179999</v>
      </c>
      <c r="K24" s="88"/>
    </row>
    <row r="25" spans="1:11" x14ac:dyDescent="0.25">
      <c r="A25" s="76" t="s">
        <v>83</v>
      </c>
      <c r="B25" s="76">
        <v>12.5</v>
      </c>
      <c r="C25" s="111">
        <v>7.6331801712499994E-2</v>
      </c>
      <c r="D25" s="111">
        <v>8.6600996553899995E-2</v>
      </c>
      <c r="E25" s="111">
        <v>7.5058497488500006E-2</v>
      </c>
      <c r="F25" s="111">
        <v>7.9698696732500005E-2</v>
      </c>
      <c r="G25" s="111">
        <v>7.6345100998899906E-2</v>
      </c>
      <c r="H25" s="111">
        <v>0.115512996912</v>
      </c>
      <c r="I25" s="111">
        <v>7.3887497186699999E-2</v>
      </c>
      <c r="J25" s="111">
        <v>0.1282909959555</v>
      </c>
      <c r="K25" s="88"/>
    </row>
    <row r="26" spans="1:11" x14ac:dyDescent="0.25">
      <c r="A26" s="76" t="s">
        <v>83</v>
      </c>
      <c r="B26" s="76">
        <v>17.5</v>
      </c>
      <c r="C26" s="111">
        <v>7.1587800979600005E-2</v>
      </c>
      <c r="D26" s="111">
        <v>8.1144198775300005E-2</v>
      </c>
      <c r="E26" s="111">
        <v>7.0730701088899894E-2</v>
      </c>
      <c r="F26" s="111">
        <v>7.46295973658999E-2</v>
      </c>
      <c r="G26" s="111">
        <v>7.1687102317799997E-2</v>
      </c>
      <c r="H26" s="111">
        <v>0.1079030036926</v>
      </c>
      <c r="I26" s="111">
        <v>6.9256000220800001E-2</v>
      </c>
      <c r="J26" s="111">
        <v>0.11965099722149999</v>
      </c>
      <c r="K26" s="88"/>
    </row>
    <row r="27" spans="1:11" x14ac:dyDescent="0.25">
      <c r="A27" s="76" t="s">
        <v>83</v>
      </c>
      <c r="B27" s="76">
        <v>22.5</v>
      </c>
      <c r="C27" s="111">
        <v>6.7042998969599907E-2</v>
      </c>
      <c r="D27" s="111">
        <v>7.5947798788499998E-2</v>
      </c>
      <c r="E27" s="111">
        <v>6.6322602331600006E-2</v>
      </c>
      <c r="F27" s="111">
        <v>6.9846697151699999E-2</v>
      </c>
      <c r="G27" s="111">
        <v>6.7192703485499994E-2</v>
      </c>
      <c r="H27" s="111">
        <v>0.1010920032859</v>
      </c>
      <c r="I27" s="111">
        <v>6.4815096557099994E-2</v>
      </c>
      <c r="J27" s="111">
        <v>0.11206000298259999</v>
      </c>
      <c r="K27" s="88"/>
    </row>
    <row r="28" spans="1:11" x14ac:dyDescent="0.25">
      <c r="A28" s="76" t="s">
        <v>83</v>
      </c>
      <c r="B28" s="76">
        <v>27.5</v>
      </c>
      <c r="C28" s="111">
        <v>6.1861101537899997E-2</v>
      </c>
      <c r="D28" s="111">
        <v>7.0064201950999994E-2</v>
      </c>
      <c r="E28" s="111">
        <v>6.16110004485E-2</v>
      </c>
      <c r="F28" s="111">
        <v>6.4335100352800004E-2</v>
      </c>
      <c r="G28" s="111">
        <v>6.20126985013E-2</v>
      </c>
      <c r="H28" s="111">
        <v>9.2490501701799996E-2</v>
      </c>
      <c r="I28" s="111">
        <v>5.9836700558699898E-2</v>
      </c>
      <c r="J28" s="111">
        <v>0.10224799811839901</v>
      </c>
      <c r="K28" s="88"/>
    </row>
    <row r="29" spans="1:11" x14ac:dyDescent="0.25">
      <c r="A29" s="76" t="s">
        <v>83</v>
      </c>
      <c r="B29" s="76">
        <v>32.5</v>
      </c>
      <c r="C29" s="111">
        <v>6.0070000588899997E-2</v>
      </c>
      <c r="D29" s="111">
        <v>6.8016901612299993E-2</v>
      </c>
      <c r="E29" s="111">
        <v>6.0109898448E-2</v>
      </c>
      <c r="F29" s="111">
        <v>6.2381498515599897E-2</v>
      </c>
      <c r="G29" s="111">
        <v>6.0253500938399998E-2</v>
      </c>
      <c r="H29" s="111">
        <v>8.9428603649100005E-2</v>
      </c>
      <c r="I29" s="111">
        <v>5.8097600936900001E-2</v>
      </c>
      <c r="J29" s="111">
        <v>9.8663099110100003E-2</v>
      </c>
      <c r="K29" s="88"/>
    </row>
    <row r="30" spans="1:11" x14ac:dyDescent="0.25">
      <c r="A30" s="76" t="s">
        <v>83</v>
      </c>
      <c r="B30" s="76">
        <v>37.5</v>
      </c>
      <c r="C30" s="111">
        <v>5.9190899133699897E-2</v>
      </c>
      <c r="D30" s="111">
        <v>6.7005001008500001E-2</v>
      </c>
      <c r="E30" s="111">
        <v>5.9431999921799997E-2</v>
      </c>
      <c r="F30" s="111">
        <v>6.13996982574E-2</v>
      </c>
      <c r="G30" s="111">
        <v>5.9405799955100001E-2</v>
      </c>
      <c r="H30" s="111">
        <v>8.7890602648299995E-2</v>
      </c>
      <c r="I30" s="111">
        <v>5.7234399020699898E-2</v>
      </c>
      <c r="J30" s="111">
        <v>9.6820503473299999E-2</v>
      </c>
      <c r="K30" s="88"/>
    </row>
    <row r="31" spans="1:11" x14ac:dyDescent="0.25">
      <c r="A31" s="76" t="s">
        <v>83</v>
      </c>
      <c r="B31" s="76">
        <v>42.5</v>
      </c>
      <c r="C31" s="111">
        <v>5.9465900063499999E-2</v>
      </c>
      <c r="D31" s="111">
        <v>6.7303597927100001E-2</v>
      </c>
      <c r="E31" s="111">
        <v>5.9905700385600003E-2</v>
      </c>
      <c r="F31" s="111">
        <v>6.1621401458999997E-2</v>
      </c>
      <c r="G31" s="111">
        <v>5.9708300977900003E-2</v>
      </c>
      <c r="H31" s="111">
        <v>8.8036298751799996E-2</v>
      </c>
      <c r="I31" s="111">
        <v>5.74949011207E-2</v>
      </c>
      <c r="J31" s="111">
        <v>9.6838898956800007E-2</v>
      </c>
      <c r="K31" s="88"/>
    </row>
    <row r="32" spans="1:11" x14ac:dyDescent="0.25">
      <c r="A32" s="76" t="s">
        <v>83</v>
      </c>
      <c r="B32" s="76">
        <v>47.5</v>
      </c>
      <c r="C32" s="111">
        <v>6.13114014268E-2</v>
      </c>
      <c r="D32" s="111">
        <v>6.9382898509499996E-2</v>
      </c>
      <c r="E32" s="111">
        <v>6.1982098966800001E-2</v>
      </c>
      <c r="F32" s="111">
        <v>6.3469201326399993E-2</v>
      </c>
      <c r="G32" s="111">
        <v>6.1581201851399897E-2</v>
      </c>
      <c r="H32" s="111">
        <v>9.0428002178699896E-2</v>
      </c>
      <c r="I32" s="111">
        <v>5.9283100068599999E-2</v>
      </c>
      <c r="J32" s="111">
        <v>9.9314898252499895E-2</v>
      </c>
      <c r="K32" s="88"/>
    </row>
    <row r="33" spans="1:11" x14ac:dyDescent="0.25">
      <c r="A33" s="76" t="s">
        <v>83</v>
      </c>
      <c r="B33" s="76">
        <v>52.5</v>
      </c>
      <c r="C33" s="111">
        <v>6.3552699983099994E-2</v>
      </c>
      <c r="D33" s="111">
        <v>7.1912899613399903E-2</v>
      </c>
      <c r="E33" s="111">
        <v>6.4469501376199903E-2</v>
      </c>
      <c r="F33" s="111">
        <v>6.5725602209599998E-2</v>
      </c>
      <c r="G33" s="111">
        <v>6.3847199082399997E-2</v>
      </c>
      <c r="H33" s="111">
        <v>9.3363903462899994E-2</v>
      </c>
      <c r="I33" s="111">
        <v>6.1459198594099998E-2</v>
      </c>
      <c r="J33" s="111">
        <v>0.1023800000548</v>
      </c>
      <c r="K33" s="88"/>
    </row>
    <row r="34" spans="1:11" x14ac:dyDescent="0.25">
      <c r="A34" s="76" t="s">
        <v>83</v>
      </c>
      <c r="B34" s="76">
        <v>57.5</v>
      </c>
      <c r="C34" s="111">
        <v>6.6291801631500002E-2</v>
      </c>
      <c r="D34" s="111">
        <v>7.5008802115899997E-2</v>
      </c>
      <c r="E34" s="111">
        <v>6.7482098936999996E-2</v>
      </c>
      <c r="F34" s="111">
        <v>6.8493202328700001E-2</v>
      </c>
      <c r="G34" s="111">
        <v>6.66097030044E-2</v>
      </c>
      <c r="H34" s="111">
        <v>9.6977099776299994E-2</v>
      </c>
      <c r="I34" s="111">
        <v>6.4122296869800005E-2</v>
      </c>
      <c r="J34" s="111">
        <v>0.1061730012298</v>
      </c>
      <c r="K34" s="88"/>
    </row>
    <row r="35" spans="1:11" x14ac:dyDescent="0.25">
      <c r="A35" s="76" t="s">
        <v>83</v>
      </c>
      <c r="B35" s="76">
        <v>62.5</v>
      </c>
      <c r="C35" s="111">
        <v>7.1055598556999999E-2</v>
      </c>
      <c r="D35" s="111">
        <v>8.0401100218300006E-2</v>
      </c>
      <c r="E35" s="111">
        <v>7.2703696787399893E-2</v>
      </c>
      <c r="F35" s="111">
        <v>7.3314398527100005E-2</v>
      </c>
      <c r="G35" s="111">
        <v>7.1398198604600005E-2</v>
      </c>
      <c r="H35" s="111">
        <v>0.103244997561</v>
      </c>
      <c r="I35" s="111">
        <v>6.8764798343199998E-2</v>
      </c>
      <c r="J35" s="111">
        <v>0.1127630025148</v>
      </c>
      <c r="K35" s="88"/>
    </row>
    <row r="36" spans="1:11" x14ac:dyDescent="0.25">
      <c r="A36" s="76" t="s">
        <v>83</v>
      </c>
      <c r="B36" s="76">
        <v>67.5</v>
      </c>
      <c r="C36" s="111">
        <v>8.1341803073900001E-2</v>
      </c>
      <c r="D36" s="111">
        <v>9.2054300010199999E-2</v>
      </c>
      <c r="E36" s="111">
        <v>8.3956897258799998E-2</v>
      </c>
      <c r="F36" s="111">
        <v>8.3734400570399894E-2</v>
      </c>
      <c r="G36" s="111">
        <v>8.1718102097499995E-2</v>
      </c>
      <c r="H36" s="111">
        <v>0.11676099896430001</v>
      </c>
      <c r="I36" s="111">
        <v>7.8802503645399993E-2</v>
      </c>
      <c r="J36" s="111">
        <v>0.12698400020600001</v>
      </c>
      <c r="K36" s="88"/>
    </row>
    <row r="37" spans="1:11" x14ac:dyDescent="0.25">
      <c r="A37" s="76" t="s">
        <v>83</v>
      </c>
      <c r="B37" s="76">
        <v>72.5</v>
      </c>
      <c r="C37" s="111">
        <v>9.6295796334699896E-2</v>
      </c>
      <c r="D37" s="111">
        <v>0.10900399833920001</v>
      </c>
      <c r="E37" s="111">
        <v>0.10033699870109999</v>
      </c>
      <c r="F37" s="111">
        <v>9.8890498280500005E-2</v>
      </c>
      <c r="G37" s="111">
        <v>9.6715301275299995E-2</v>
      </c>
      <c r="H37" s="111">
        <v>0.13628999888900001</v>
      </c>
      <c r="I37" s="111">
        <v>9.3410201370699997E-2</v>
      </c>
      <c r="J37" s="111">
        <v>0.14751499891279901</v>
      </c>
      <c r="K37" s="88"/>
    </row>
    <row r="38" spans="1:11" x14ac:dyDescent="0.25">
      <c r="K38" s="88"/>
    </row>
  </sheetData>
  <sheetProtection algorithmName="SHA-512" hashValue="LgyxcQNtuu6Fxc8+0P5ji+uPeMVutV8budgr+0+g86ABZj1StCMot1ORAhgr8zs06J0RfwgMa6BBj5Bu+WMx2A==" saltValue="lOCjbsTVpevgoI5H8WP2yA==" spinCount="100000" sheet="1" selectLockedCells="1" selectUnlockedCells="1"/>
  <mergeCells count="2">
    <mergeCell ref="A1:J1"/>
    <mergeCell ref="A20:J2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A1:N37"/>
  <sheetViews>
    <sheetView workbookViewId="0">
      <selection sqref="A1:J1"/>
    </sheetView>
  </sheetViews>
  <sheetFormatPr defaultRowHeight="15" x14ac:dyDescent="0.25"/>
  <cols>
    <col min="1" max="1" width="14.42578125" bestFit="1" customWidth="1"/>
    <col min="3" max="9" width="12.140625" style="46" bestFit="1" customWidth="1"/>
    <col min="10" max="10" width="10.5703125" style="46" bestFit="1" customWidth="1"/>
  </cols>
  <sheetData>
    <row r="1" spans="1:14" s="91" customFormat="1" x14ac:dyDescent="0.25">
      <c r="A1" s="115" t="s">
        <v>121</v>
      </c>
      <c r="B1" s="115"/>
      <c r="C1" s="115"/>
      <c r="D1" s="115"/>
      <c r="E1" s="115"/>
      <c r="F1" s="115"/>
      <c r="G1" s="115"/>
      <c r="H1" s="115"/>
      <c r="I1" s="115"/>
      <c r="J1" s="115"/>
    </row>
    <row r="2" spans="1:14" s="2" customFormat="1" x14ac:dyDescent="0.25">
      <c r="A2" s="97" t="s">
        <v>79</v>
      </c>
      <c r="B2" s="97" t="s">
        <v>80</v>
      </c>
      <c r="C2" s="110" t="s">
        <v>69</v>
      </c>
      <c r="D2" s="110" t="s">
        <v>70</v>
      </c>
      <c r="E2" s="110" t="s">
        <v>71</v>
      </c>
      <c r="F2" s="110" t="s">
        <v>72</v>
      </c>
      <c r="G2" s="110" t="s">
        <v>73</v>
      </c>
      <c r="H2" s="110" t="s">
        <v>74</v>
      </c>
      <c r="I2" s="110" t="s">
        <v>75</v>
      </c>
      <c r="J2" s="110" t="s">
        <v>76</v>
      </c>
    </row>
    <row r="3" spans="1:14" x14ac:dyDescent="0.25">
      <c r="A3" s="76" t="s">
        <v>82</v>
      </c>
      <c r="B3" s="76">
        <v>0</v>
      </c>
      <c r="C3" s="111">
        <v>5.8609999716300001E-2</v>
      </c>
      <c r="D3" s="111">
        <v>7.0484898984399996E-2</v>
      </c>
      <c r="E3" s="111">
        <v>5.5012099444900001E-2</v>
      </c>
      <c r="F3" s="111">
        <v>6.3270196318599994E-2</v>
      </c>
      <c r="G3" s="111">
        <v>5.65058998764E-2</v>
      </c>
      <c r="H3" s="111">
        <v>9.6514701843299994E-2</v>
      </c>
      <c r="I3" s="111">
        <v>5.7858299464E-2</v>
      </c>
      <c r="J3" s="111">
        <v>0.110799998045</v>
      </c>
    </row>
    <row r="4" spans="1:14" x14ac:dyDescent="0.25">
      <c r="A4" s="76" t="s">
        <v>82</v>
      </c>
      <c r="B4" s="76">
        <v>2.5</v>
      </c>
      <c r="C4" s="111">
        <v>3.5171400755599998E-2</v>
      </c>
      <c r="D4" s="111">
        <v>4.2221300303899999E-2</v>
      </c>
      <c r="E4" s="111">
        <v>3.3969201147599999E-2</v>
      </c>
      <c r="F4" s="111">
        <v>3.76628004014E-2</v>
      </c>
      <c r="G4" s="111">
        <v>3.4171398729100001E-2</v>
      </c>
      <c r="H4" s="111">
        <v>5.7386100292199899E-2</v>
      </c>
      <c r="I4" s="111">
        <v>3.4549199044699899E-2</v>
      </c>
      <c r="J4" s="111">
        <v>6.5357796847800007E-2</v>
      </c>
      <c r="L4" s="2" t="s">
        <v>104</v>
      </c>
      <c r="N4" s="91" t="s">
        <v>119</v>
      </c>
    </row>
    <row r="5" spans="1:14" x14ac:dyDescent="0.25">
      <c r="A5" s="76" t="s">
        <v>82</v>
      </c>
      <c r="B5" s="76">
        <v>7.5</v>
      </c>
      <c r="C5" s="111">
        <v>2.2651899606E-2</v>
      </c>
      <c r="D5" s="111">
        <v>2.7145899832200001E-2</v>
      </c>
      <c r="E5" s="111">
        <v>2.2505000233700001E-2</v>
      </c>
      <c r="F5" s="111">
        <v>2.4057900533099998E-2</v>
      </c>
      <c r="G5" s="111">
        <v>2.2180700674699998E-2</v>
      </c>
      <c r="H5" s="111">
        <v>3.6615099757899998E-2</v>
      </c>
      <c r="I5" s="111">
        <v>2.21395008266E-2</v>
      </c>
      <c r="J5" s="111">
        <v>4.1352998465300002E-2</v>
      </c>
      <c r="L5" t="s">
        <v>105</v>
      </c>
    </row>
    <row r="6" spans="1:14" x14ac:dyDescent="0.25">
      <c r="A6" s="76" t="s">
        <v>82</v>
      </c>
      <c r="B6" s="76">
        <v>12.5</v>
      </c>
      <c r="C6" s="111">
        <v>1.6929900273700001E-2</v>
      </c>
      <c r="D6" s="111">
        <v>2.0293999463299999E-2</v>
      </c>
      <c r="E6" s="111">
        <v>1.6858600080000001E-2</v>
      </c>
      <c r="F6" s="111">
        <v>1.7971899360400001E-2</v>
      </c>
      <c r="G6" s="111">
        <v>1.6589900478700001E-2</v>
      </c>
      <c r="H6" s="111">
        <v>2.7355400845399998E-2</v>
      </c>
      <c r="I6" s="111">
        <v>1.6541400924299999E-2</v>
      </c>
      <c r="J6" s="111">
        <v>3.08660995214999E-2</v>
      </c>
      <c r="L6" t="s">
        <v>82</v>
      </c>
    </row>
    <row r="7" spans="1:14" x14ac:dyDescent="0.25">
      <c r="A7" s="76" t="s">
        <v>82</v>
      </c>
      <c r="B7" s="76">
        <v>17.5</v>
      </c>
      <c r="C7" s="111">
        <v>1.39010995626E-2</v>
      </c>
      <c r="D7" s="111">
        <v>1.66459996252999E-2</v>
      </c>
      <c r="E7" s="111">
        <v>1.39955002815E-2</v>
      </c>
      <c r="F7" s="111">
        <v>1.4711899682899999E-2</v>
      </c>
      <c r="G7" s="111">
        <v>1.36591000482E-2</v>
      </c>
      <c r="H7" s="111">
        <v>2.2313000634300001E-2</v>
      </c>
      <c r="I7" s="111">
        <v>1.3561399653600001E-2</v>
      </c>
      <c r="J7" s="111">
        <v>2.5098299607599898E-2</v>
      </c>
    </row>
    <row r="8" spans="1:14" x14ac:dyDescent="0.25">
      <c r="A8" s="76" t="s">
        <v>82</v>
      </c>
      <c r="B8" s="76">
        <v>22.5</v>
      </c>
      <c r="C8" s="111">
        <v>1.26003995537999E-2</v>
      </c>
      <c r="D8" s="111">
        <v>1.5075299888799999E-2</v>
      </c>
      <c r="E8" s="111">
        <v>1.28357997163999E-2</v>
      </c>
      <c r="F8" s="111">
        <v>1.3287800364200001E-2</v>
      </c>
      <c r="G8" s="111">
        <v>1.24212000519E-2</v>
      </c>
      <c r="H8" s="111">
        <v>2.0132299512599899E-2</v>
      </c>
      <c r="I8" s="111">
        <v>1.2266599573199999E-2</v>
      </c>
      <c r="J8" s="111">
        <v>2.25630998611E-2</v>
      </c>
    </row>
    <row r="9" spans="1:14" x14ac:dyDescent="0.25">
      <c r="A9" s="76" t="s">
        <v>82</v>
      </c>
      <c r="B9" s="76">
        <v>27.5</v>
      </c>
      <c r="C9" s="111">
        <v>1.17947002873E-2</v>
      </c>
      <c r="D9" s="111">
        <v>1.4101999811799999E-2</v>
      </c>
      <c r="E9" s="111">
        <v>1.21267996728E-2</v>
      </c>
      <c r="F9" s="111">
        <v>1.2402400374399899E-2</v>
      </c>
      <c r="G9" s="111">
        <v>1.1657300405199999E-2</v>
      </c>
      <c r="H9" s="111">
        <v>1.8781099468499901E-2</v>
      </c>
      <c r="I9" s="111">
        <v>1.1462300084500001E-2</v>
      </c>
      <c r="J9" s="111">
        <v>2.09864992648E-2</v>
      </c>
    </row>
    <row r="10" spans="1:14" x14ac:dyDescent="0.25">
      <c r="A10" s="76" t="s">
        <v>82</v>
      </c>
      <c r="B10" s="76">
        <v>32.5</v>
      </c>
      <c r="C10" s="111">
        <v>1.1447000317299999E-2</v>
      </c>
      <c r="D10" s="111">
        <v>1.3672599569E-2</v>
      </c>
      <c r="E10" s="111">
        <v>1.1898299679199999E-2</v>
      </c>
      <c r="F10" s="111">
        <v>1.1997399851699999E-2</v>
      </c>
      <c r="G10" s="111">
        <v>1.1346000246699999E-2</v>
      </c>
      <c r="H10" s="111">
        <v>1.81210990995E-2</v>
      </c>
      <c r="I10" s="111">
        <v>1.11047001556E-2</v>
      </c>
      <c r="J10" s="111">
        <v>2.0180299878099901E-2</v>
      </c>
    </row>
    <row r="11" spans="1:14" x14ac:dyDescent="0.25">
      <c r="A11" s="76" t="s">
        <v>82</v>
      </c>
      <c r="B11" s="76">
        <v>37.5</v>
      </c>
      <c r="C11" s="111">
        <v>1.12082995474E-2</v>
      </c>
      <c r="D11" s="111">
        <v>1.3376500457499999E-2</v>
      </c>
      <c r="E11" s="111">
        <v>1.17538999766E-2</v>
      </c>
      <c r="F11" s="111">
        <v>1.1715799570099999E-2</v>
      </c>
      <c r="G11" s="111">
        <v>1.1135299690099999E-2</v>
      </c>
      <c r="H11" s="111">
        <v>1.7655799165399999E-2</v>
      </c>
      <c r="I11" s="111">
        <v>1.08575997874E-2</v>
      </c>
      <c r="J11" s="111">
        <v>1.96068007499E-2</v>
      </c>
    </row>
    <row r="12" spans="1:14" x14ac:dyDescent="0.25">
      <c r="A12" s="76" t="s">
        <v>82</v>
      </c>
      <c r="B12" s="76">
        <v>42.5</v>
      </c>
      <c r="C12" s="111">
        <v>1.10226999967999E-2</v>
      </c>
      <c r="D12" s="111">
        <v>1.31460996344999E-2</v>
      </c>
      <c r="E12" s="111">
        <v>1.1641499586399999E-2</v>
      </c>
      <c r="F12" s="111">
        <v>1.1496700346499999E-2</v>
      </c>
      <c r="G12" s="111">
        <v>1.09713999555E-2</v>
      </c>
      <c r="H12" s="111">
        <v>1.72937996685999E-2</v>
      </c>
      <c r="I12" s="111">
        <v>1.06653999537E-2</v>
      </c>
      <c r="J12" s="111">
        <v>1.9160699099299999E-2</v>
      </c>
    </row>
    <row r="13" spans="1:14" x14ac:dyDescent="0.25">
      <c r="A13" s="76" t="s">
        <v>82</v>
      </c>
      <c r="B13" s="76">
        <v>47.5</v>
      </c>
      <c r="C13" s="111">
        <v>1.0793000459700001E-2</v>
      </c>
      <c r="D13" s="111">
        <v>1.28672998398999E-2</v>
      </c>
      <c r="E13" s="111">
        <v>1.1462699621899899E-2</v>
      </c>
      <c r="F13" s="111">
        <v>1.1237000115199999E-2</v>
      </c>
      <c r="G13" s="111">
        <v>1.0759999975599999E-2</v>
      </c>
      <c r="H13" s="111">
        <v>1.6896400600699999E-2</v>
      </c>
      <c r="I13" s="111">
        <v>1.0432000271999999E-2</v>
      </c>
      <c r="J13" s="111">
        <v>1.8683899194E-2</v>
      </c>
    </row>
    <row r="14" spans="1:14" x14ac:dyDescent="0.25">
      <c r="A14" s="76" t="s">
        <v>82</v>
      </c>
      <c r="B14" s="76">
        <v>52.5</v>
      </c>
      <c r="C14" s="111">
        <v>1.05835003777999E-2</v>
      </c>
      <c r="D14" s="111">
        <v>1.26139000058E-2</v>
      </c>
      <c r="E14" s="111">
        <v>1.12926997244E-2</v>
      </c>
      <c r="F14" s="111">
        <v>1.10020004213E-2</v>
      </c>
      <c r="G14" s="111">
        <v>1.0565499775100001E-2</v>
      </c>
      <c r="H14" s="111">
        <v>1.6542399302100001E-2</v>
      </c>
      <c r="I14" s="111">
        <v>1.0219899937500001E-2</v>
      </c>
      <c r="J14" s="111">
        <v>1.8354199826700002E-2</v>
      </c>
    </row>
    <row r="15" spans="1:14" x14ac:dyDescent="0.25">
      <c r="A15" s="76" t="s">
        <v>82</v>
      </c>
      <c r="B15" s="76">
        <v>57.5</v>
      </c>
      <c r="C15" s="111">
        <v>1.06947002932E-2</v>
      </c>
      <c r="D15" s="111">
        <v>1.27397002652E-2</v>
      </c>
      <c r="E15" s="111">
        <v>1.14820003509999E-2</v>
      </c>
      <c r="F15" s="111">
        <v>1.10959000885E-2</v>
      </c>
      <c r="G15" s="111">
        <v>1.06945997104E-2</v>
      </c>
      <c r="H15" s="111">
        <v>1.6661299392599999E-2</v>
      </c>
      <c r="I15" s="111">
        <v>1.0316199623E-2</v>
      </c>
      <c r="J15" s="111">
        <v>1.8262000754499901E-2</v>
      </c>
    </row>
    <row r="16" spans="1:14" x14ac:dyDescent="0.25">
      <c r="A16" s="76" t="s">
        <v>82</v>
      </c>
      <c r="B16" s="76">
        <v>62.5</v>
      </c>
      <c r="C16" s="111">
        <v>1.18872001766999E-2</v>
      </c>
      <c r="D16" s="111">
        <v>1.41414003447E-2</v>
      </c>
      <c r="E16" s="111">
        <v>1.2915999628599999E-2</v>
      </c>
      <c r="F16" s="111">
        <v>1.22881997377E-2</v>
      </c>
      <c r="G16" s="111">
        <v>1.1923399753899999E-2</v>
      </c>
      <c r="H16" s="111">
        <v>1.83620993047999E-2</v>
      </c>
      <c r="I16" s="111">
        <v>1.14462999627E-2</v>
      </c>
      <c r="J16" s="111">
        <v>2.0146500319200001E-2</v>
      </c>
    </row>
    <row r="17" spans="1:10" x14ac:dyDescent="0.25">
      <c r="A17" s="76" t="s">
        <v>82</v>
      </c>
      <c r="B17" s="76">
        <v>67.5</v>
      </c>
      <c r="C17" s="111">
        <v>1.46858002989999E-2</v>
      </c>
      <c r="D17" s="111">
        <v>1.74403004348E-2</v>
      </c>
      <c r="E17" s="111">
        <v>1.61917004734E-2</v>
      </c>
      <c r="F17" s="111">
        <v>1.51132997125E-2</v>
      </c>
      <c r="G17" s="111">
        <v>1.47847998887E-2</v>
      </c>
      <c r="H17" s="111">
        <v>2.24270001054E-2</v>
      </c>
      <c r="I17" s="111">
        <v>1.41120003536E-2</v>
      </c>
      <c r="J17" s="111">
        <v>2.4482799693899999E-2</v>
      </c>
    </row>
    <row r="18" spans="1:10" x14ac:dyDescent="0.25">
      <c r="A18" s="76" t="s">
        <v>82</v>
      </c>
      <c r="B18" s="76">
        <v>72.5</v>
      </c>
      <c r="C18" s="111">
        <v>1.88135001807999E-2</v>
      </c>
      <c r="D18" s="111">
        <v>2.2301599383400001E-2</v>
      </c>
      <c r="E18" s="111">
        <v>2.0949499681599999E-2</v>
      </c>
      <c r="F18" s="111">
        <v>1.9308000802999999E-2</v>
      </c>
      <c r="G18" s="111">
        <v>1.8978700041799999E-2</v>
      </c>
      <c r="H18" s="111">
        <v>2.8373600915099901E-2</v>
      </c>
      <c r="I18" s="111">
        <v>1.8065299838799901E-2</v>
      </c>
      <c r="J18" s="111">
        <v>3.08768991381E-2</v>
      </c>
    </row>
    <row r="19" spans="1:10" s="91" customFormat="1" x14ac:dyDescent="0.25">
      <c r="C19" s="46"/>
      <c r="D19" s="46"/>
      <c r="E19" s="46"/>
      <c r="F19" s="46"/>
      <c r="G19" s="46"/>
      <c r="H19" s="46"/>
      <c r="I19" s="46"/>
      <c r="J19" s="46"/>
    </row>
    <row r="20" spans="1:10" x14ac:dyDescent="0.25">
      <c r="A20" s="115" t="s">
        <v>121</v>
      </c>
      <c r="B20" s="115"/>
      <c r="C20" s="115"/>
      <c r="D20" s="115"/>
      <c r="E20" s="115"/>
      <c r="F20" s="115"/>
      <c r="G20" s="115"/>
      <c r="H20" s="115"/>
      <c r="I20" s="115"/>
      <c r="J20" s="115"/>
    </row>
    <row r="21" spans="1:10" s="2" customFormat="1" x14ac:dyDescent="0.25">
      <c r="A21" s="97" t="s">
        <v>79</v>
      </c>
      <c r="B21" s="97" t="s">
        <v>80</v>
      </c>
      <c r="C21" s="110" t="s">
        <v>69</v>
      </c>
      <c r="D21" s="110" t="s">
        <v>70</v>
      </c>
      <c r="E21" s="110" t="s">
        <v>71</v>
      </c>
      <c r="F21" s="110" t="s">
        <v>72</v>
      </c>
      <c r="G21" s="110" t="s">
        <v>73</v>
      </c>
      <c r="H21" s="110" t="s">
        <v>74</v>
      </c>
      <c r="I21" s="110" t="s">
        <v>75</v>
      </c>
      <c r="J21" s="110" t="s">
        <v>76</v>
      </c>
    </row>
    <row r="22" spans="1:10" x14ac:dyDescent="0.25">
      <c r="A22" s="76" t="s">
        <v>83</v>
      </c>
      <c r="B22" s="76">
        <v>0</v>
      </c>
      <c r="C22" s="111">
        <v>5.8609899133399999E-2</v>
      </c>
      <c r="D22" s="111">
        <v>7.0484802126899906E-2</v>
      </c>
      <c r="E22" s="111">
        <v>5.5012099444900001E-2</v>
      </c>
      <c r="F22" s="111">
        <v>6.3270196318599994E-2</v>
      </c>
      <c r="G22" s="111">
        <v>5.6506000459199998E-2</v>
      </c>
      <c r="H22" s="111">
        <v>9.65145975351E-2</v>
      </c>
      <c r="I22" s="111">
        <v>5.7858299464E-2</v>
      </c>
      <c r="J22" s="111">
        <v>0.110799998045</v>
      </c>
    </row>
    <row r="23" spans="1:10" x14ac:dyDescent="0.25">
      <c r="A23" s="76" t="s">
        <v>83</v>
      </c>
      <c r="B23" s="76">
        <v>2.5</v>
      </c>
      <c r="C23" s="111">
        <v>3.5515200346699902E-2</v>
      </c>
      <c r="D23" s="111">
        <v>4.2625699192299998E-2</v>
      </c>
      <c r="E23" s="111">
        <v>3.4352999180600002E-2</v>
      </c>
      <c r="F23" s="111">
        <v>3.8021400570899998E-2</v>
      </c>
      <c r="G23" s="111">
        <v>3.4513100981699997E-2</v>
      </c>
      <c r="H23" s="111">
        <v>5.7831298559899998E-2</v>
      </c>
      <c r="I23" s="111">
        <v>3.4887701272999998E-2</v>
      </c>
      <c r="J23" s="111">
        <v>6.5844103693999997E-2</v>
      </c>
    </row>
    <row r="24" spans="1:10" x14ac:dyDescent="0.25">
      <c r="A24" s="76" t="s">
        <v>83</v>
      </c>
      <c r="B24" s="76">
        <v>7.5</v>
      </c>
      <c r="C24" s="111">
        <v>2.3967800661900001E-2</v>
      </c>
      <c r="D24" s="111">
        <v>2.8696199879099899E-2</v>
      </c>
      <c r="E24" s="111">
        <v>2.40234993397999E-2</v>
      </c>
      <c r="F24" s="111">
        <v>2.53970995544999E-2</v>
      </c>
      <c r="G24" s="111">
        <v>2.35166996717E-2</v>
      </c>
      <c r="H24" s="111">
        <v>3.8489598780899997E-2</v>
      </c>
      <c r="I24" s="111">
        <v>2.3402400314799999E-2</v>
      </c>
      <c r="J24" s="111">
        <v>4.33663018048E-2</v>
      </c>
    </row>
    <row r="25" spans="1:10" x14ac:dyDescent="0.25">
      <c r="A25" s="76" t="s">
        <v>83</v>
      </c>
      <c r="B25" s="76">
        <v>12.5</v>
      </c>
      <c r="C25" s="111">
        <v>2.01185997575999E-2</v>
      </c>
      <c r="D25" s="111">
        <v>2.40529999137E-2</v>
      </c>
      <c r="E25" s="111">
        <v>2.0580399781499999E-2</v>
      </c>
      <c r="F25" s="111">
        <v>2.1188899874700001E-2</v>
      </c>
      <c r="G25" s="111">
        <v>1.9851200282599998E-2</v>
      </c>
      <c r="H25" s="111">
        <v>3.2042399048799998E-2</v>
      </c>
      <c r="I25" s="111">
        <v>1.95739008485999E-2</v>
      </c>
      <c r="J25" s="111">
        <v>3.5873699933300002E-2</v>
      </c>
    </row>
    <row r="26" spans="1:10" x14ac:dyDescent="0.25">
      <c r="A26" s="76" t="s">
        <v>83</v>
      </c>
      <c r="B26" s="76">
        <v>17.5</v>
      </c>
      <c r="C26" s="111">
        <v>1.7726300284300001E-2</v>
      </c>
      <c r="D26" s="111">
        <v>2.1176399663100001E-2</v>
      </c>
      <c r="E26" s="111">
        <v>1.8333999440099901E-2</v>
      </c>
      <c r="F26" s="111">
        <v>1.8605599179900002E-2</v>
      </c>
      <c r="G26" s="111">
        <v>1.7545400187400001E-2</v>
      </c>
      <c r="H26" s="111">
        <v>2.8115600347499999E-2</v>
      </c>
      <c r="I26" s="111">
        <v>1.7210900783499999E-2</v>
      </c>
      <c r="J26" s="111">
        <v>3.1365200877200003E-2</v>
      </c>
    </row>
    <row r="27" spans="1:10" x14ac:dyDescent="0.25">
      <c r="A27" s="76" t="s">
        <v>83</v>
      </c>
      <c r="B27" s="76">
        <v>22.5</v>
      </c>
      <c r="C27" s="111">
        <v>1.53491003439E-2</v>
      </c>
      <c r="D27" s="111">
        <v>1.8333099782500001E-2</v>
      </c>
      <c r="E27" s="111">
        <v>1.59297008067E-2</v>
      </c>
      <c r="F27" s="111">
        <v>1.60907004028999E-2</v>
      </c>
      <c r="G27" s="111">
        <v>1.52097996324E-2</v>
      </c>
      <c r="H27" s="111">
        <v>2.4343999102699999E-2</v>
      </c>
      <c r="I27" s="111">
        <v>1.48897003382E-2</v>
      </c>
      <c r="J27" s="111">
        <v>2.71256007254E-2</v>
      </c>
    </row>
    <row r="28" spans="1:10" x14ac:dyDescent="0.25">
      <c r="A28" s="76" t="s">
        <v>83</v>
      </c>
      <c r="B28" s="76">
        <v>27.5</v>
      </c>
      <c r="C28" s="111">
        <v>1.42219997942E-2</v>
      </c>
      <c r="D28" s="111">
        <v>1.69677995145E-2</v>
      </c>
      <c r="E28" s="111">
        <v>1.49114001542E-2</v>
      </c>
      <c r="F28" s="111">
        <v>1.4865400269599999E-2</v>
      </c>
      <c r="G28" s="111">
        <v>1.41283003612999E-2</v>
      </c>
      <c r="H28" s="111">
        <v>2.2393299266700001E-2</v>
      </c>
      <c r="I28" s="111">
        <v>1.37772997841E-2</v>
      </c>
      <c r="J28" s="111">
        <v>2.4874599650499998E-2</v>
      </c>
    </row>
    <row r="29" spans="1:10" x14ac:dyDescent="0.25">
      <c r="A29" s="76" t="s">
        <v>83</v>
      </c>
      <c r="B29" s="76">
        <v>32.5</v>
      </c>
      <c r="C29" s="111">
        <v>1.2985499575700001E-2</v>
      </c>
      <c r="D29" s="111">
        <v>1.5487699769399999E-2</v>
      </c>
      <c r="E29" s="111">
        <v>1.36716999114E-2</v>
      </c>
      <c r="F29" s="111">
        <v>1.3556400313999999E-2</v>
      </c>
      <c r="G29" s="111">
        <v>1.29139004275E-2</v>
      </c>
      <c r="H29" s="111">
        <v>2.0397499203700001E-2</v>
      </c>
      <c r="I29" s="111">
        <v>1.25714000313999E-2</v>
      </c>
      <c r="J29" s="111">
        <v>2.2626200690899999E-2</v>
      </c>
    </row>
    <row r="30" spans="1:10" x14ac:dyDescent="0.25">
      <c r="A30" s="76" t="s">
        <v>83</v>
      </c>
      <c r="B30" s="76">
        <v>37.5</v>
      </c>
      <c r="C30" s="111">
        <v>1.1953799985300001E-2</v>
      </c>
      <c r="D30" s="111">
        <v>1.4255500398599999E-2</v>
      </c>
      <c r="E30" s="111">
        <v>1.26173002645E-2</v>
      </c>
      <c r="F30" s="111">
        <v>1.2469800189099999E-2</v>
      </c>
      <c r="G30" s="111">
        <v>1.18961995467999E-2</v>
      </c>
      <c r="H30" s="111">
        <v>1.8756100907899999E-2</v>
      </c>
      <c r="I30" s="111">
        <v>1.15676000714E-2</v>
      </c>
      <c r="J30" s="111">
        <v>2.0786600187400001E-2</v>
      </c>
    </row>
    <row r="31" spans="1:10" x14ac:dyDescent="0.25">
      <c r="A31" s="76" t="s">
        <v>83</v>
      </c>
      <c r="B31" s="76">
        <v>42.5</v>
      </c>
      <c r="C31" s="111">
        <v>1.13695003092E-2</v>
      </c>
      <c r="D31" s="111">
        <v>1.35548003018E-2</v>
      </c>
      <c r="E31" s="111">
        <v>1.20513997972E-2</v>
      </c>
      <c r="F31" s="111">
        <v>1.1844700202299999E-2</v>
      </c>
      <c r="G31" s="111">
        <v>1.13278999925E-2</v>
      </c>
      <c r="H31" s="111">
        <v>1.7805000767099999E-2</v>
      </c>
      <c r="I31" s="111">
        <v>1.09938997775E-2</v>
      </c>
      <c r="J31" s="111">
        <v>1.9703699275899999E-2</v>
      </c>
    </row>
    <row r="32" spans="1:10" x14ac:dyDescent="0.25">
      <c r="A32" s="76" t="s">
        <v>83</v>
      </c>
      <c r="B32" s="76">
        <v>47.5</v>
      </c>
      <c r="C32" s="111">
        <v>1.12718995661E-2</v>
      </c>
      <c r="D32" s="111">
        <v>1.3431300409100001E-2</v>
      </c>
      <c r="E32" s="111">
        <v>1.2029499746899999E-2</v>
      </c>
      <c r="F32" s="111">
        <v>1.17175998166E-2</v>
      </c>
      <c r="G32" s="111">
        <v>1.1251900345099999E-2</v>
      </c>
      <c r="H32" s="111">
        <v>1.7596300691399999E-2</v>
      </c>
      <c r="I32" s="111">
        <v>1.0885999538000001E-2</v>
      </c>
      <c r="J32" s="111">
        <v>1.94269008934E-2</v>
      </c>
    </row>
    <row r="33" spans="1:10" x14ac:dyDescent="0.25">
      <c r="A33" s="76" t="s">
        <v>83</v>
      </c>
      <c r="B33" s="76">
        <v>52.5</v>
      </c>
      <c r="C33" s="111">
        <v>1.13663999364E-2</v>
      </c>
      <c r="D33" s="111">
        <v>1.35359000415E-2</v>
      </c>
      <c r="E33" s="111">
        <v>1.22071001679E-2</v>
      </c>
      <c r="F33" s="111">
        <v>1.1792800389199999E-2</v>
      </c>
      <c r="G33" s="111">
        <v>1.13652003929E-2</v>
      </c>
      <c r="H33" s="111">
        <v>1.7676800489399999E-2</v>
      </c>
      <c r="I33" s="111">
        <v>1.09660997987E-2</v>
      </c>
      <c r="J33" s="111">
        <v>1.9473999738699999E-2</v>
      </c>
    </row>
    <row r="34" spans="1:10" x14ac:dyDescent="0.25">
      <c r="A34" s="76" t="s">
        <v>83</v>
      </c>
      <c r="B34" s="76">
        <v>57.5</v>
      </c>
      <c r="C34" s="111">
        <v>1.16529995576E-2</v>
      </c>
      <c r="D34" s="111">
        <v>1.38681000098999E-2</v>
      </c>
      <c r="E34" s="111">
        <v>1.2588200159399999E-2</v>
      </c>
      <c r="F34" s="111">
        <v>1.2068999931199999E-2</v>
      </c>
      <c r="G34" s="111">
        <v>1.16688003764E-2</v>
      </c>
      <c r="H34" s="111">
        <v>1.8043400719799998E-2</v>
      </c>
      <c r="I34" s="111">
        <v>1.12333996221E-2</v>
      </c>
      <c r="J34" s="111">
        <v>1.9839400425599899E-2</v>
      </c>
    </row>
    <row r="35" spans="1:10" x14ac:dyDescent="0.25">
      <c r="A35" s="76" t="s">
        <v>83</v>
      </c>
      <c r="B35" s="76">
        <v>62.5</v>
      </c>
      <c r="C35" s="111">
        <v>1.2541400268699999E-2</v>
      </c>
      <c r="D35" s="111">
        <v>1.4911799691599999E-2</v>
      </c>
      <c r="E35" s="111">
        <v>1.3659800402799901E-2</v>
      </c>
      <c r="F35" s="111">
        <v>1.29565997049E-2</v>
      </c>
      <c r="G35" s="111">
        <v>1.25847999007E-2</v>
      </c>
      <c r="H35" s="111">
        <v>1.93026997149E-2</v>
      </c>
      <c r="I35" s="111">
        <v>1.20753999799E-2</v>
      </c>
      <c r="J35" s="111">
        <v>2.1164700388900001E-2</v>
      </c>
    </row>
    <row r="36" spans="1:10" x14ac:dyDescent="0.25">
      <c r="A36" s="76" t="s">
        <v>83</v>
      </c>
      <c r="B36" s="76">
        <v>67.5</v>
      </c>
      <c r="C36" s="111">
        <v>1.4941199682699999E-2</v>
      </c>
      <c r="D36" s="111">
        <v>1.7740299925200001E-2</v>
      </c>
      <c r="E36" s="111">
        <v>1.6478300094599999E-2</v>
      </c>
      <c r="F36" s="111">
        <v>1.53756998479E-2</v>
      </c>
      <c r="G36" s="111">
        <v>1.50413997471E-2</v>
      </c>
      <c r="H36" s="111">
        <v>2.2788999602199999E-2</v>
      </c>
      <c r="I36" s="111">
        <v>1.4358799904599999E-2</v>
      </c>
      <c r="J36" s="111">
        <v>2.48776003718E-2</v>
      </c>
    </row>
    <row r="37" spans="1:10" x14ac:dyDescent="0.25">
      <c r="A37" s="76" t="s">
        <v>83</v>
      </c>
      <c r="B37" s="76">
        <v>72.5</v>
      </c>
      <c r="C37" s="111">
        <v>1.88135001807999E-2</v>
      </c>
      <c r="D37" s="111">
        <v>2.2301599383400001E-2</v>
      </c>
      <c r="E37" s="111">
        <v>2.0949499681599999E-2</v>
      </c>
      <c r="F37" s="111">
        <v>1.9308000802999999E-2</v>
      </c>
      <c r="G37" s="111">
        <v>1.8978700041799999E-2</v>
      </c>
      <c r="H37" s="111">
        <v>2.8373600915099901E-2</v>
      </c>
      <c r="I37" s="111">
        <v>1.8065299838799901E-2</v>
      </c>
      <c r="J37" s="111">
        <v>3.08768991381E-2</v>
      </c>
    </row>
  </sheetData>
  <sheetProtection algorithmName="SHA-512" hashValue="mnfTvyb91eziG1KOxYSc843466f3IuLFAXdxv5RpDVRwDxarAZ7TlsCAE2Frl7THVNvkK04IrTK9UmETZGAAqQ==" saltValue="UKLpKyHBIOqy3oXo/9Cvlg==" spinCount="100000" sheet="1" selectLockedCells="1" selectUnlockedCells="1"/>
  <mergeCells count="2">
    <mergeCell ref="A1:J1"/>
    <mergeCell ref="A20:J2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Instructions</vt:lpstr>
      <vt:lpstr>ITS Delay Worksheet</vt:lpstr>
      <vt:lpstr>Emissions Reduction Worksheet</vt:lpstr>
      <vt:lpstr>Inputs &amp; Outputs</vt:lpstr>
      <vt:lpstr>Calculations</vt:lpstr>
      <vt:lpstr>Assumed Values</vt:lpstr>
      <vt:lpstr>Value of Emissions</vt:lpstr>
      <vt:lpstr>Emission Factors - NOx</vt:lpstr>
      <vt:lpstr>Emission Factors - VOC</vt:lpstr>
      <vt:lpstr>Service Life</vt:lpstr>
      <vt:lpstr>_2025_Capacity</vt:lpstr>
      <vt:lpstr>_2045_Capacity</vt:lpstr>
      <vt:lpstr>Application_ID_Number</vt:lpstr>
      <vt:lpstr>Name</vt:lpstr>
      <vt:lpstr>'Assumed Values'!Print_Area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George Cherepes</cp:lastModifiedBy>
  <cp:lastPrinted>2018-04-10T17:15:43Z</cp:lastPrinted>
  <dcterms:created xsi:type="dcterms:W3CDTF">2012-07-25T15:48:32Z</dcterms:created>
  <dcterms:modified xsi:type="dcterms:W3CDTF">2018-10-03T21:07:01Z</dcterms:modified>
</cp:coreProperties>
</file>