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Emissions\"/>
    </mc:Choice>
  </mc:AlternateContent>
  <xr:revisionPtr revIDLastSave="49" documentId="8_{1C37B54A-2DAD-4D0E-913E-717B954B9CD5}" xr6:coauthVersionLast="40" xr6:coauthVersionMax="40" xr10:uidLastSave="{F720F57B-D0D5-46F7-9E09-C6B74679F91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<sst xmlns="http://schemas.openxmlformats.org/spreadsheetml/2006/main" count="263" uniqueCount="131">
  <si>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</si>
  <si>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</si>
  <si>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</si>
  <si>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</si>
  <si>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</si>
  <si>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</si>
  <si>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</si>
  <si>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</si>
  <si>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</si>
  <si>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</si>
  <si>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</si>
  <si>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</si>
  <si>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</si>
  <si>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</si>
  <si>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</si>
  <si>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</si>
  <si>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</si>
  <si>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</si>
  <si>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</si>
  <si>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</si>
  <si>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</si>
  <si>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</si>
  <si>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</si>
  <si>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</si>
  <si>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</si>
  <si>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</si>
  <si>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</si>
  <si>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</si>
  <si>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</si>
  <si>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</si>
  <si>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</si>
  <si>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</si>
  <si>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</si>
  <si>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</si>
  <si>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</si>
  <si>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</si>
  <si>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</si>
  <si>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</si>
  <si>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</si>
  <si>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</si>
  <si>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</si>
  <si>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</si>
  <si>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</si>
  <si>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</si>
  <si>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</si>
  <si>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</si>
  <si>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</si>
  <si>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1092 Access Management</t>
  </si>
  <si>
    <t>Data entered by the sponsors</t>
  </si>
  <si>
    <t>Application ID Number:</t>
  </si>
  <si>
    <t>Data populated/calculated based on inputs</t>
  </si>
  <si>
    <t>Sponsor ID Number (CSJ, etc.):</t>
  </si>
  <si>
    <t>N/A</t>
  </si>
  <si>
    <t xml:space="preserve">HGAC regional travel demand model data provided by HGAC </t>
  </si>
  <si>
    <t>Project County</t>
  </si>
  <si>
    <t>Fort Bend</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</si>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</sst>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6"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241</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2023</v>
      </c>
    </row>
    <row r="14" spans="1:5">
      <c r="A14" s="5" t="s">
        <v>59</v>
      </c>
      <c r="B14" s="5" t="s">
        <v>60</v>
      </c>
    </row>
    <row r="15" spans="1:5">
      <c r="A15" s="85" t="s">
        <v>61</v>
      </c>
      <c r="B15" s="8" t="s">
        <v>62</v>
      </c>
    </row>
    <row r="16" spans="1:5">
      <c r="A16" s="85" t="s">
        <v>63</v>
      </c>
      <c r="B16" s="8">
        <v>5.96</v>
      </c>
    </row>
    <row r="17" spans="1:2">
      <c r="A17" s="86" t="s">
        <v>64</v>
      </c>
      <c r="B17" s="8">
        <v>14</v>
      </c>
    </row>
    <row r="18" spans="1:2">
      <c r="A18" s="86" t="s">
        <v>65</v>
      </c>
      <c r="B18" s="8">
        <v>20</v>
      </c>
    </row>
    <row r="19" spans="1:2">
      <c r="A19" s="76" t="s">
        <v>66</v>
      </c>
      <c r="B19" s="77">
        <f>VLOOKUP(B14,'Service Life'!C6:D8,2,FALSE)</f>
        <v>20</v>
      </c>
    </row>
    <row r="21" spans="1:2">
      <c r="A21" s="81" t="s">
        <v>67</v>
      </c>
    </row>
    <row r="22" spans="1:2" ht="20.25" customHeight="1">
      <c r="A22" s="86" t="s">
        <v>68</v>
      </c>
      <c r="B22" s="95">
        <v>37404</v>
      </c>
    </row>
    <row r="23" spans="1:2" ht="30">
      <c r="A23" s="94" t="s">
        <v>69</v>
      </c>
      <c r="B23" s="96">
        <v>43867</v>
      </c>
    </row>
    <row r="24" spans="1:2" ht="30">
      <c r="A24" s="94" t="s">
        <v>70</v>
      </c>
      <c r="B24" s="96">
        <v>47212</v>
      </c>
    </row>
    <row r="27" spans="1:2" ht="18.75">
      <c r="A27" s="79" t="s">
        <v>71</v>
      </c>
      <c r="B27" s="80"/>
    </row>
    <row r="29" spans="1:2">
      <c r="A29" s="87" t="s">
        <v>72</v>
      </c>
    </row>
    <row r="30" spans="1:2">
      <c r="A30" s="84" t="s">
        <v>73</v>
      </c>
      <c r="B30" s="35">
        <f>'Benefit Calculations'!M37</f>
        <v>19891.585012708743</v>
      </c>
    </row>
    <row r="31" spans="1:2">
      <c r="A31" s="84" t="s">
        <v>74</v>
      </c>
      <c r="B31" s="35">
        <f>'Benefit Calculations'!Q37</f>
        <v>2619.7535735808738</v>
      </c>
    </row>
    <row r="32" spans="1:2">
      <c r="B32" s="88"/>
    </row>
    <row r="33" spans="1:9">
      <c r="A33" s="87" t="s">
        <v>75</v>
      </c>
      <c r="B33" s="88"/>
    </row>
    <row r="34" spans="1:9">
      <c r="A34" s="84" t="s">
        <v>76</v>
      </c>
      <c r="B34" s="35">
        <f>$B$30+$B$31</f>
        <v>22511.338586289618</v>
      </c>
    </row>
    <row r="35" spans="1:9">
      <c r="I35" s="89"/>
    </row>
    <row r="36" spans="1:9">
      <c r="A36" s="87" t="s">
        <v>77</v>
      </c>
    </row>
    <row r="37" spans="1:9">
      <c r="A37" s="84" t="s">
        <v>78</v>
      </c>
      <c r="B37" s="91">
        <f>'Benefit Calculations'!K37</f>
        <v>6.6123705498082197</v>
      </c>
    </row>
    <row r="38" spans="1:9">
      <c r="A38" s="84" t="s">
        <v>79</v>
      </c>
      <c r="B38" s="91">
        <f>'Benefit Calculations'!O37</f>
        <v>3.4322389708364409</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7.5058497488500006E-2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2.0580399781499999E-2</v>
      </c>
      <c r="F4" s="54">
        <v>2018</v>
      </c>
      <c r="G4" s="63">
        <f>'Inputs &amp; Outputs'!B22</f>
        <v>37404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7.0730701088899894E-2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1.8333999440099901E-2</v>
      </c>
      <c r="F5" s="54">
        <f t="shared" ref="F5:F36" si="2">F4+1</f>
        <v>2019</v>
      </c>
      <c r="G5" s="63">
        <f>G4+G4*H5</f>
        <v>38265.430486866317</v>
      </c>
      <c r="H5" s="62">
        <f>$C$9</f>
        <v>2.3030437569947493E-2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39146.700094781256</v>
      </c>
      <c r="H6" s="62">
        <f t="shared" ref="H6:H11" si="7">$C$9</f>
        <v>2.3030437569947493E-2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40048.265727383572</v>
      </c>
      <c r="H7" s="62">
        <f t="shared" si="7"/>
        <v>2.3030437569947493E-2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40970.594811002746</v>
      </c>
      <c r="H8" s="62">
        <f t="shared" si="7"/>
        <v>2.3030437569947493E-2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2.3030437569947493E-2</v>
      </c>
      <c r="F9" s="54">
        <f t="shared" si="2"/>
        <v>2023</v>
      </c>
      <c r="G9" s="63">
        <f t="shared" si="6"/>
        <v>41914.165537001158</v>
      </c>
      <c r="H9" s="62">
        <f t="shared" si="7"/>
        <v>2.3030437569947493E-2</v>
      </c>
      <c r="I9" s="54">
        <f>IF(AND(F9&gt;='Inputs &amp; Outputs'!B$13,F9&lt;'Inputs &amp; Outputs'!B$13+'Inputs &amp; Outputs'!B$19),1,0)</f>
        <v>1</v>
      </c>
      <c r="J9" s="55">
        <f>I9*'Inputs &amp; Outputs'!B$16*'Benefit Calculations'!G9*('Benefit Calculations'!C$4-'Benefit Calculations'!C$5)</f>
        <v>1081.1200092315291</v>
      </c>
      <c r="K9" s="71">
        <f t="shared" si="3"/>
        <v>0.30985026455514819</v>
      </c>
      <c r="L9" s="56">
        <f>K9*'Assumed Values'!$C$8</f>
        <v>2326.3557862800526</v>
      </c>
      <c r="M9" s="57">
        <f t="shared" si="0"/>
        <v>1658.6595241795401</v>
      </c>
      <c r="N9" s="55">
        <f>I9*'Inputs &amp; Outputs'!B$16*'Benefit Calculations'!G9*('Benefit Calculations'!D$4-'Benefit Calculations'!D$5)</f>
        <v>561.16973480004503</v>
      </c>
      <c r="O9" s="71">
        <f t="shared" si="4"/>
        <v>0.16083190515707035</v>
      </c>
      <c r="P9" s="56">
        <f>ABS(O9*'Assumed Values'!$C$7)</f>
        <v>306.38477932421904</v>
      </c>
      <c r="Q9" s="57">
        <f t="shared" si="1"/>
        <v>218.44811326232175</v>
      </c>
      <c r="T9" s="68">
        <f t="shared" si="5"/>
        <v>0.28109120240019758</v>
      </c>
      <c r="U9" s="69">
        <f>T9*'Assumed Values'!$D$8</f>
        <v>0</v>
      </c>
    </row>
    <row r="10" spans="2:21">
      <c r="B10" s="15" t="s">
        <v>99</v>
      </c>
      <c r="C10" s="53">
        <f>('Inputs &amp; Outputs'!B24/'Inputs &amp; Outputs'!B23)^(1/(2045-2020))-1</f>
        <v>2.9437551061004541E-3</v>
      </c>
      <c r="F10" s="54">
        <f t="shared" si="2"/>
        <v>2024</v>
      </c>
      <c r="G10" s="63">
        <f t="shared" si="6"/>
        <v>42879.467109697507</v>
      </c>
      <c r="H10" s="62">
        <f t="shared" si="7"/>
        <v>2.3030437569947493E-2</v>
      </c>
      <c r="I10" s="54">
        <f>IF(AND(F10&gt;='Inputs &amp; Outputs'!B$13,F10&lt;'Inputs &amp; Outputs'!B$13+'Inputs &amp; Outputs'!B$19),1,0)</f>
        <v>1</v>
      </c>
      <c r="J10" s="55">
        <f>I10*'Inputs &amp; Outputs'!B$16*'Benefit Calculations'!G10*('Benefit Calculations'!C$4-'Benefit Calculations'!C$5)</f>
        <v>1106.0186761097568</v>
      </c>
      <c r="K10" s="71">
        <f t="shared" si="3"/>
        <v>0.31698625172901723</v>
      </c>
      <c r="L10" s="56">
        <f>K10*'Assumed Values'!$C$8</f>
        <v>2379.9327779814612</v>
      </c>
      <c r="M10" s="57">
        <f t="shared" si="0"/>
        <v>1585.8496998139772</v>
      </c>
      <c r="N10" s="55">
        <f>I10*'Inputs &amp; Outputs'!B$16*'Benefit Calculations'!G10*('Benefit Calculations'!D$4-'Benefit Calculations'!D$5)</f>
        <v>574.09371934350145</v>
      </c>
      <c r="O10" s="71">
        <f t="shared" si="4"/>
        <v>0.16453593430804597</v>
      </c>
      <c r="P10" s="56">
        <f>ABS(O10*'Assumed Values'!$C$7)</f>
        <v>313.4409548568276</v>
      </c>
      <c r="Q10" s="57">
        <f t="shared" si="1"/>
        <v>208.85894289446961</v>
      </c>
      <c r="T10" s="68">
        <f t="shared" si="5"/>
        <v>0.2875648557885368</v>
      </c>
      <c r="U10" s="69">
        <f>T10*'Assumed Values'!$D$8</f>
        <v>0</v>
      </c>
    </row>
    <row r="11" spans="2:21">
      <c r="B11" s="15" t="s">
        <v>100</v>
      </c>
      <c r="C11" s="53">
        <f>('Inputs &amp; Outputs'!B24/'Inputs &amp; Outputs'!B22)^(1/(2045-2018))-1</f>
        <v>8.6621323894291447E-3</v>
      </c>
      <c r="F11" s="54">
        <f t="shared" si="2"/>
        <v>2025</v>
      </c>
      <c r="G11" s="63">
        <f>'Inputs &amp; Outputs'!$B$23</f>
        <v>43867</v>
      </c>
      <c r="H11" s="62">
        <f t="shared" si="7"/>
        <v>2.3030437569947493E-2</v>
      </c>
      <c r="I11" s="54">
        <f>IF(AND(F11&gt;='Inputs &amp; Outputs'!B$13,F11&lt;'Inputs &amp; Outputs'!B$13+'Inputs &amp; Outputs'!B$19),1,0)</f>
        <v>1</v>
      </c>
      <c r="J11" s="55">
        <f>I11*'Inputs &amp; Outputs'!B$16*'Benefit Calculations'!G11*('Benefit Calculations'!C$4-'Benefit Calculations'!C$5)</f>
        <v>1131.4907701810982</v>
      </c>
      <c r="K11" s="71">
        <f t="shared" si="3"/>
        <v>0.32428658380999392</v>
      </c>
      <c r="L11" s="56">
        <f>K11*'Assumed Values'!$C$8</f>
        <v>2434.7436712454341</v>
      </c>
      <c r="M11" s="57">
        <f t="shared" si="0"/>
        <v>1516.2359928232358</v>
      </c>
      <c r="N11" s="55">
        <f>I11*'Inputs &amp; Outputs'!B$16*'Benefit Calculations'!G11*('Benefit Calculations'!D$4-'Benefit Calculations'!D$5)</f>
        <v>587.3153489061408</v>
      </c>
      <c r="O11" s="71">
        <f t="shared" si="4"/>
        <v>0.16832526887114035</v>
      </c>
      <c r="P11" s="56">
        <f>ABS(O11*'Assumed Values'!$C$7)</f>
        <v>320.65963719952236</v>
      </c>
      <c r="Q11" s="57">
        <f t="shared" si="1"/>
        <v>199.69070629880918</v>
      </c>
      <c r="T11" s="68">
        <f t="shared" si="5"/>
        <v>0.29418760024708557</v>
      </c>
      <c r="U11" s="69">
        <f>T11*'Assumed Values'!$D$8</f>
        <v>0</v>
      </c>
    </row>
    <row r="12" spans="2:21">
      <c r="C12" s="38"/>
      <c r="F12" s="54">
        <f t="shared" si="2"/>
        <v>2026</v>
      </c>
      <c r="G12" s="63">
        <f t="shared" si="6"/>
        <v>43996.133705239306</v>
      </c>
      <c r="H12" s="62">
        <f>$C$10</f>
        <v>2.9437551061004541E-3</v>
      </c>
      <c r="I12" s="54">
        <f>IF(AND(F12&gt;='Inputs &amp; Outputs'!B$13,F12&lt;'Inputs &amp; Outputs'!B$13+'Inputs &amp; Outputs'!B$19),1,0)</f>
        <v>1</v>
      </c>
      <c r="J12" s="55">
        <f>I12*'Inputs &amp; Outputs'!B$16*'Benefit Calculations'!G12*('Benefit Calculations'!C$4-'Benefit Calculations'!C$5)</f>
        <v>1134.8216019133245</v>
      </c>
      <c r="K12" s="71">
        <f t="shared" si="3"/>
        <v>0.32524120409692447</v>
      </c>
      <c r="L12" s="56">
        <f>K12*'Assumed Values'!$C$8</f>
        <v>2441.910960359709</v>
      </c>
      <c r="M12" s="57">
        <f t="shared" si="0"/>
        <v>1421.2144114665073</v>
      </c>
      <c r="N12" s="55">
        <f>I12*'Inputs &amp; Outputs'!B$16*'Benefit Calculations'!G12*('Benefit Calculations'!D$4-'Benefit Calculations'!D$5)</f>
        <v>589.04426146337437</v>
      </c>
      <c r="O12" s="71">
        <f t="shared" si="4"/>
        <v>0.1688207772408655</v>
      </c>
      <c r="P12" s="56">
        <f>ABS(O12*'Assumed Values'!$C$7)</f>
        <v>321.60358064384877</v>
      </c>
      <c r="Q12" s="57">
        <f t="shared" si="1"/>
        <v>187.17621199543655</v>
      </c>
      <c r="T12" s="68">
        <f t="shared" si="5"/>
        <v>0.29505361649746437</v>
      </c>
      <c r="U12" s="69">
        <f>T12*'Assumed Values'!$D$8</f>
        <v>0</v>
      </c>
    </row>
    <row r="13" spans="2:21">
      <c r="C13" s="38"/>
      <c r="F13" s="54">
        <f t="shared" si="2"/>
        <v>2027</v>
      </c>
      <c r="G13" s="63">
        <f t="shared" si="6"/>
        <v>44125.647548482782</v>
      </c>
      <c r="H13" s="62">
        <f t="shared" ref="H13:H36" si="8">$C$10</f>
        <v>2.9437551061004541E-3</v>
      </c>
      <c r="I13" s="54">
        <f>IF(AND(F13&gt;='Inputs &amp; Outputs'!B$13,F13&lt;'Inputs &amp; Outputs'!B$13+'Inputs &amp; Outputs'!B$19),1,0)</f>
        <v>1</v>
      </c>
      <c r="J13" s="55">
        <f>I13*'Inputs &amp; Outputs'!B$16*'Benefit Calculations'!G13*('Benefit Calculations'!C$4-'Benefit Calculations'!C$5)</f>
        <v>1138.1622387984698</v>
      </c>
      <c r="K13" s="71">
        <f t="shared" si="3"/>
        <v>0.32619863455219905</v>
      </c>
      <c r="L13" s="56">
        <f>K13*'Assumed Values'!$C$8</f>
        <v>2449.0993482179106</v>
      </c>
      <c r="M13" s="57">
        <f t="shared" si="0"/>
        <v>1332.1477744365657</v>
      </c>
      <c r="N13" s="55">
        <f>I13*'Inputs &amp; Outputs'!B$16*'Benefit Calculations'!G13*('Benefit Calculations'!D$4-'Benefit Calculations'!D$5)</f>
        <v>590.7782635157763</v>
      </c>
      <c r="O13" s="71">
        <f t="shared" si="4"/>
        <v>0.16931774426588414</v>
      </c>
      <c r="P13" s="56">
        <f>ABS(O13*'Assumed Values'!$C$7)</f>
        <v>322.55030282650927</v>
      </c>
      <c r="Q13" s="57">
        <f t="shared" si="1"/>
        <v>175.44599338807348</v>
      </c>
      <c r="T13" s="68">
        <f t="shared" si="5"/>
        <v>0.29592218208760213</v>
      </c>
      <c r="U13" s="69">
        <f>T13*'Assumed Values'!$D$8</f>
        <v>0</v>
      </c>
    </row>
    <row r="14" spans="2:21">
      <c r="C14" s="38"/>
      <c r="F14" s="54">
        <f t="shared" si="2"/>
        <v>2028</v>
      </c>
      <c r="G14" s="63">
        <f t="shared" si="6"/>
        <v>44255.542648763614</v>
      </c>
      <c r="H14" s="62">
        <f t="shared" si="8"/>
        <v>2.9437551061004541E-3</v>
      </c>
      <c r="I14" s="54">
        <f>IF(AND(F14&gt;='Inputs &amp; Outputs'!B$13,F14&lt;'Inputs &amp; Outputs'!B$13+'Inputs &amp; Outputs'!B$19),1,0)</f>
        <v>1</v>
      </c>
      <c r="J14" s="55">
        <f>I14*'Inputs &amp; Outputs'!B$16*'Benefit Calculations'!G14*('Benefit Calculations'!C$4-'Benefit Calculations'!C$5)</f>
        <v>1141.5127097005036</v>
      </c>
      <c r="K14" s="71">
        <f t="shared" si="3"/>
        <v>0.3271588834482651</v>
      </c>
      <c r="L14" s="56">
        <f>K14*'Assumed Values'!$C$8</f>
        <v>2456.3088969295745</v>
      </c>
      <c r="M14" s="57">
        <f t="shared" si="0"/>
        <v>1248.6628890183588</v>
      </c>
      <c r="N14" s="55">
        <f>I14*'Inputs &amp; Outputs'!B$16*'Benefit Calculations'!G14*('Benefit Calculations'!D$4-'Benefit Calculations'!D$5)</f>
        <v>592.51737004557401</v>
      </c>
      <c r="O14" s="71">
        <f t="shared" si="4"/>
        <v>0.16981617424012024</v>
      </c>
      <c r="P14" s="56">
        <f>ABS(O14*'Assumed Values'!$C$7)</f>
        <v>323.49981192742905</v>
      </c>
      <c r="Q14" s="57">
        <f t="shared" si="1"/>
        <v>164.45090039902288</v>
      </c>
      <c r="T14" s="68">
        <f t="shared" si="5"/>
        <v>0.29679330452213093</v>
      </c>
      <c r="U14" s="69">
        <f>T14*'Assumed Values'!$D$8</f>
        <v>0</v>
      </c>
    </row>
    <row r="15" spans="2:21">
      <c r="C15" s="1"/>
      <c r="F15" s="54">
        <f t="shared" si="2"/>
        <v>2029</v>
      </c>
      <c r="G15" s="63">
        <f t="shared" si="6"/>
        <v>44385.820128409156</v>
      </c>
      <c r="H15" s="62">
        <f t="shared" si="8"/>
        <v>2.9437551061004541E-3</v>
      </c>
      <c r="I15" s="54">
        <f>IF(AND(F15&gt;='Inputs &amp; Outputs'!B$13,F15&lt;'Inputs &amp; Outputs'!B$13+'Inputs &amp; Outputs'!B$19),1,0)</f>
        <v>1</v>
      </c>
      <c r="J15" s="55">
        <f>I15*'Inputs &amp; Outputs'!B$16*'Benefit Calculations'!G15*('Benefit Calculations'!C$4-'Benefit Calculations'!C$5)</f>
        <v>1144.8730435683626</v>
      </c>
      <c r="K15" s="71">
        <f t="shared" si="3"/>
        <v>0.32812195908192193</v>
      </c>
      <c r="L15" s="56">
        <f>K15*'Assumed Values'!$C$8</f>
        <v>2463.5396687870698</v>
      </c>
      <c r="M15" s="57">
        <f t="shared" si="0"/>
        <v>1170.4099502557981</v>
      </c>
      <c r="N15" s="55">
        <f>I15*'Inputs &amp; Outputs'!B$16*'Benefit Calculations'!G15*('Benefit Calculations'!D$4-'Benefit Calculations'!D$5)</f>
        <v>594.26159607909881</v>
      </c>
      <c r="O15" s="71">
        <f t="shared" si="4"/>
        <v>0.17031607147013803</v>
      </c>
      <c r="P15" s="56">
        <f>ABS(O15*'Assumed Values'!$C$7)</f>
        <v>324.45211615061294</v>
      </c>
      <c r="Q15" s="57">
        <f t="shared" si="1"/>
        <v>154.14486315586478</v>
      </c>
      <c r="T15" s="68">
        <f t="shared" si="5"/>
        <v>0.2976669913277743</v>
      </c>
      <c r="U15" s="69">
        <f>T15*'Assumed Values'!$D$8</f>
        <v>0</v>
      </c>
    </row>
    <row r="16" spans="2:21">
      <c r="C16" s="1"/>
      <c r="F16" s="54">
        <f t="shared" si="2"/>
        <v>2030</v>
      </c>
      <c r="G16" s="63">
        <f t="shared" si="6"/>
        <v>44516.481113050613</v>
      </c>
      <c r="H16" s="62">
        <f t="shared" si="8"/>
        <v>2.9437551061004541E-3</v>
      </c>
      <c r="I16" s="54">
        <f>IF(AND(F16&gt;='Inputs &amp; Outputs'!B$13,F16&lt;'Inputs &amp; Outputs'!B$13+'Inputs &amp; Outputs'!B$19),1,0)</f>
        <v>1</v>
      </c>
      <c r="J16" s="55">
        <f>I16*'Inputs &amp; Outputs'!B$16*'Benefit Calculations'!G16*('Benefit Calculations'!C$4-'Benefit Calculations'!C$5)</f>
        <v>1148.2432694362039</v>
      </c>
      <c r="K16" s="71">
        <f t="shared" si="3"/>
        <v>0.32908786977439308</v>
      </c>
      <c r="L16" s="56">
        <f>K16*'Assumed Values'!$C$8</f>
        <v>2470.7917262661431</v>
      </c>
      <c r="M16" s="57">
        <f t="shared" si="0"/>
        <v>1097.0610752552286</v>
      </c>
      <c r="N16" s="55">
        <f>I16*'Inputs &amp; Outputs'!B$16*'Benefit Calculations'!G16*('Benefit Calculations'!D$4-'Benefit Calculations'!D$5)</f>
        <v>596.01095668691607</v>
      </c>
      <c r="O16" s="71">
        <f t="shared" si="4"/>
        <v>0.17081744027517923</v>
      </c>
      <c r="P16" s="56">
        <f>ABS(O16*'Assumed Values'!$C$7)</f>
        <v>325.40722372421641</v>
      </c>
      <c r="Q16" s="57">
        <f t="shared" si="1"/>
        <v>144.48469895687759</v>
      </c>
      <c r="T16" s="68">
        <f t="shared" si="5"/>
        <v>0.29854325005341303</v>
      </c>
      <c r="U16" s="69">
        <f>T16*'Assumed Values'!$D$8</f>
        <v>0</v>
      </c>
    </row>
    <row r="17" spans="3:21">
      <c r="C17" s="1"/>
      <c r="F17" s="54">
        <f t="shared" si="2"/>
        <v>2031</v>
      </c>
      <c r="G17" s="63">
        <f t="shared" si="6"/>
        <v>44647.526731632781</v>
      </c>
      <c r="H17" s="62">
        <f t="shared" si="8"/>
        <v>2.9437551061004541E-3</v>
      </c>
      <c r="I17" s="54">
        <f>IF(AND(F17&gt;='Inputs &amp; Outputs'!B$13,F17&lt;'Inputs &amp; Outputs'!B$13+'Inputs &amp; Outputs'!B$19),1,0)</f>
        <v>1</v>
      </c>
      <c r="J17" s="55">
        <f>I17*'Inputs &amp; Outputs'!B$16*'Benefit Calculations'!G17*('Benefit Calculations'!C$4-'Benefit Calculations'!C$5)</f>
        <v>1151.6234164236523</v>
      </c>
      <c r="K17" s="71">
        <f t="shared" si="3"/>
        <v>0.33005662387139717</v>
      </c>
      <c r="L17" s="56">
        <f>K17*'Assumed Values'!$C$8</f>
        <v>2478.0651320264501</v>
      </c>
      <c r="M17" s="57">
        <f t="shared" si="0"/>
        <v>1028.3089293431919</v>
      </c>
      <c r="N17" s="55">
        <f>I17*'Inputs &amp; Outputs'!B$16*'Benefit Calculations'!G17*('Benefit Calculations'!D$4-'Benefit Calculations'!D$5)</f>
        <v>597.76546698395498</v>
      </c>
      <c r="O17" s="71">
        <f t="shared" si="4"/>
        <v>0.17132028498720028</v>
      </c>
      <c r="P17" s="56">
        <f>ABS(O17*'Assumed Values'!$C$7)</f>
        <v>326.36514290061655</v>
      </c>
      <c r="Q17" s="57">
        <f t="shared" si="1"/>
        <v>135.42993133381802</v>
      </c>
      <c r="T17" s="68">
        <f t="shared" si="5"/>
        <v>0.2994220882701496</v>
      </c>
      <c r="U17" s="69">
        <f>T17*'Assumed Values'!$D$8</f>
        <v>0</v>
      </c>
    </row>
    <row r="18" spans="3:21">
      <c r="F18" s="54">
        <f t="shared" si="2"/>
        <v>2032</v>
      </c>
      <c r="G18" s="63">
        <f t="shared" si="6"/>
        <v>44778.958116423782</v>
      </c>
      <c r="H18" s="62">
        <f t="shared" si="8"/>
        <v>2.9437551061004541E-3</v>
      </c>
      <c r="I18" s="54">
        <f>IF(AND(F18&gt;='Inputs &amp; Outputs'!B$13,F18&lt;'Inputs &amp; Outputs'!B$13+'Inputs &amp; Outputs'!B$19),1,0)</f>
        <v>1</v>
      </c>
      <c r="J18" s="55">
        <f>I18*'Inputs &amp; Outputs'!B$16*'Benefit Calculations'!G18*('Benefit Calculations'!C$4-'Benefit Calculations'!C$5)</f>
        <v>1155.0135137360542</v>
      </c>
      <c r="K18" s="71">
        <f t="shared" si="3"/>
        <v>0.33102822974322083</v>
      </c>
      <c r="L18" s="56">
        <f>K18*'Assumed Values'!$C$8</f>
        <v>2485.359948912102</v>
      </c>
      <c r="M18" s="57">
        <f t="shared" si="0"/>
        <v>963.86543832205098</v>
      </c>
      <c r="N18" s="55">
        <f>I18*'Inputs &amp; Outputs'!B$16*'Benefit Calculations'!G18*('Benefit Calculations'!D$4-'Benefit Calculations'!D$5)</f>
        <v>599.52514212963956</v>
      </c>
      <c r="O18" s="71">
        <f t="shared" si="4"/>
        <v>0.17182460995090995</v>
      </c>
      <c r="P18" s="56">
        <f>ABS(O18*'Assumed Values'!$C$7)</f>
        <v>327.32588195648344</v>
      </c>
      <c r="Q18" s="57">
        <f t="shared" si="1"/>
        <v>126.94262045392598</v>
      </c>
      <c r="T18" s="68">
        <f t="shared" si="5"/>
        <v>0.30030351357137408</v>
      </c>
      <c r="U18" s="69">
        <f>T18*'Assumed Values'!$D$8</f>
        <v>0</v>
      </c>
    </row>
    <row r="19" spans="3:21">
      <c r="F19" s="54">
        <f t="shared" si="2"/>
        <v>2033</v>
      </c>
      <c r="G19" s="63">
        <f t="shared" si="6"/>
        <v>44910.776403024865</v>
      </c>
      <c r="H19" s="62">
        <f t="shared" si="8"/>
        <v>2.9437551061004541E-3</v>
      </c>
      <c r="I19" s="54">
        <f>IF(AND(F19&gt;='Inputs &amp; Outputs'!B$13,F19&lt;'Inputs &amp; Outputs'!B$13+'Inputs &amp; Outputs'!B$19),1,0)</f>
        <v>1</v>
      </c>
      <c r="J19" s="55">
        <f>I19*'Inputs &amp; Outputs'!B$16*'Benefit Calculations'!G19*('Benefit Calculations'!C$4-'Benefit Calculations'!C$5)</f>
        <v>1158.4135906647298</v>
      </c>
      <c r="K19" s="71">
        <f t="shared" si="3"/>
        <v>0.33200269578479086</v>
      </c>
      <c r="L19" s="56">
        <f>K19*'Assumed Values'!$C$8</f>
        <v>2492.6762399522099</v>
      </c>
      <c r="M19" s="57">
        <f t="shared" si="0"/>
        <v>903.46058142776189</v>
      </c>
      <c r="N19" s="55">
        <f>I19*'Inputs &amp; Outputs'!B$16*'Benefit Calculations'!G19*('Benefit Calculations'!D$4-'Benefit Calculations'!D$5)</f>
        <v>601.28999732801924</v>
      </c>
      <c r="O19" s="71">
        <f t="shared" si="4"/>
        <v>0.17233041952380665</v>
      </c>
      <c r="P19" s="56">
        <f>ABS(O19*'Assumed Values'!$C$7)</f>
        <v>328.28944919285169</v>
      </c>
      <c r="Q19" s="57">
        <f t="shared" si="1"/>
        <v>118.98720415053177</v>
      </c>
      <c r="T19" s="68">
        <f t="shared" si="5"/>
        <v>0.30118753357282974</v>
      </c>
      <c r="U19" s="69">
        <f>T19*'Assumed Values'!$D$8</f>
        <v>0</v>
      </c>
    </row>
    <row r="20" spans="3:21">
      <c r="F20" s="54">
        <f t="shared" si="2"/>
        <v>2034</v>
      </c>
      <c r="G20" s="63">
        <f t="shared" si="6"/>
        <v>45042.982730380209</v>
      </c>
      <c r="H20" s="62">
        <f t="shared" si="8"/>
        <v>2.9437551061004541E-3</v>
      </c>
      <c r="I20" s="54">
        <f>IF(AND(F20&gt;='Inputs &amp; Outputs'!B$13,F20&lt;'Inputs &amp; Outputs'!B$13+'Inputs &amp; Outputs'!B$19),1,0)</f>
        <v>1</v>
      </c>
      <c r="J20" s="55">
        <f>I20*'Inputs &amp; Outputs'!B$16*'Benefit Calculations'!G20*('Benefit Calculations'!C$4-'Benefit Calculations'!C$5)</f>
        <v>1161.8236765872255</v>
      </c>
      <c r="K20" s="71">
        <f t="shared" si="3"/>
        <v>0.33298003041574653</v>
      </c>
      <c r="L20" s="56">
        <f>K20*'Assumed Values'!$C$8</f>
        <v>2500.014068361425</v>
      </c>
      <c r="M20" s="57">
        <f t="shared" si="0"/>
        <v>846.84125993224359</v>
      </c>
      <c r="N20" s="55">
        <f>I20*'Inputs &amp; Outputs'!B$16*'Benefit Calculations'!G20*('Benefit Calculations'!D$4-'Benefit Calculations'!D$5)</f>
        <v>603.0600478279008</v>
      </c>
      <c r="O20" s="71">
        <f t="shared" si="4"/>
        <v>0.17283771807621631</v>
      </c>
      <c r="P20" s="56">
        <f>ABS(O20*'Assumed Values'!$C$7)</f>
        <v>329.25585293519208</v>
      </c>
      <c r="Q20" s="57">
        <f t="shared" si="1"/>
        <v>111.53034891617807</v>
      </c>
      <c r="T20" s="68">
        <f t="shared" si="5"/>
        <v>0.30207415591267861</v>
      </c>
      <c r="U20" s="69">
        <f>T20*'Assumed Values'!$D$8</f>
        <v>0</v>
      </c>
    </row>
    <row r="21" spans="3:21">
      <c r="F21" s="54">
        <f t="shared" si="2"/>
        <v>2035</v>
      </c>
      <c r="G21" s="63">
        <f t="shared" si="6"/>
        <v>45175.578240786759</v>
      </c>
      <c r="H21" s="62">
        <f t="shared" si="8"/>
        <v>2.9437551061004541E-3</v>
      </c>
      <c r="I21" s="54">
        <f>IF(AND(F21&gt;='Inputs &amp; Outputs'!B$13,F21&lt;'Inputs &amp; Outputs'!B$13+'Inputs &amp; Outputs'!B$19),1,0)</f>
        <v>1</v>
      </c>
      <c r="J21" s="55">
        <f>I21*'Inputs &amp; Outputs'!B$16*'Benefit Calculations'!G21*('Benefit Calculations'!C$4-'Benefit Calculations'!C$5)</f>
        <v>1165.2438009675673</v>
      </c>
      <c r="K21" s="71">
        <f t="shared" si="3"/>
        <v>0.33396024208051234</v>
      </c>
      <c r="L21" s="56">
        <f>K21*'Assumed Values'!$C$8</f>
        <v>2507.3734975404868</v>
      </c>
      <c r="M21" s="57">
        <f t="shared" si="0"/>
        <v>793.77023664974365</v>
      </c>
      <c r="N21" s="55">
        <f>I21*'Inputs &amp; Outputs'!B$16*'Benefit Calculations'!G21*('Benefit Calculations'!D$4-'Benefit Calculations'!D$5)</f>
        <v>604.83530892297927</v>
      </c>
      <c r="O21" s="71">
        <f t="shared" si="4"/>
        <v>0.17334650999132986</v>
      </c>
      <c r="P21" s="56">
        <f>ABS(O21*'Assumed Values'!$C$7)</f>
        <v>330.22510153348338</v>
      </c>
      <c r="Q21" s="57">
        <f t="shared" si="1"/>
        <v>104.54081023391139</v>
      </c>
      <c r="T21" s="68">
        <f t="shared" si="5"/>
        <v>0.30296338825156749</v>
      </c>
      <c r="U21" s="69">
        <f>T21*'Assumed Values'!$D$8</f>
        <v>0</v>
      </c>
    </row>
    <row r="22" spans="3:21">
      <c r="F22" s="54">
        <f t="shared" si="2"/>
        <v>2036</v>
      </c>
      <c r="G22" s="63">
        <f t="shared" si="6"/>
        <v>45308.564079904114</v>
      </c>
      <c r="H22" s="62">
        <f t="shared" si="8"/>
        <v>2.9437551061004541E-3</v>
      </c>
      <c r="I22" s="54">
        <f>IF(AND(F22&gt;='Inputs &amp; Outputs'!B$13,F22&lt;'Inputs &amp; Outputs'!B$13+'Inputs &amp; Outputs'!B$19),1,0)</f>
        <v>1</v>
      </c>
      <c r="J22" s="55">
        <f>I22*'Inputs &amp; Outputs'!B$16*'Benefit Calculations'!G22*('Benefit Calculations'!C$4-'Benefit Calculations'!C$5)</f>
        <v>1168.6739933565175</v>
      </c>
      <c r="K22" s="71">
        <f t="shared" si="3"/>
        <v>0.33494333924837133</v>
      </c>
      <c r="L22" s="56">
        <f>K22*'Assumed Values'!$C$8</f>
        <v>2514.7545910767722</v>
      </c>
      <c r="M22" s="57">
        <f t="shared" si="0"/>
        <v>744.02514190369322</v>
      </c>
      <c r="N22" s="55">
        <f>I22*'Inputs &amp; Outputs'!B$16*'Benefit Calculations'!G22*('Benefit Calculations'!D$4-'Benefit Calculations'!D$5)</f>
        <v>606.61579595197122</v>
      </c>
      <c r="O22" s="71">
        <f t="shared" si="4"/>
        <v>0.17385679966524156</v>
      </c>
      <c r="P22" s="56">
        <f>ABS(O22*'Assumed Values'!$C$7)</f>
        <v>331.19720336228517</v>
      </c>
      <c r="Q22" s="57">
        <f t="shared" si="1"/>
        <v>97.989301661526497</v>
      </c>
      <c r="T22" s="68">
        <f t="shared" si="5"/>
        <v>0.30385523827269451</v>
      </c>
      <c r="U22" s="69">
        <f>T22*'Assumed Values'!$D$8</f>
        <v>0</v>
      </c>
    </row>
    <row r="23" spans="3:21">
      <c r="F23" s="54">
        <f t="shared" si="2"/>
        <v>2037</v>
      </c>
      <c r="G23" s="63">
        <f t="shared" si="6"/>
        <v>45441.941396764414</v>
      </c>
      <c r="H23" s="62">
        <f t="shared" si="8"/>
        <v>2.9437551061004541E-3</v>
      </c>
      <c r="I23" s="54">
        <f>IF(AND(F23&gt;='Inputs &amp; Outputs'!B$13,F23&lt;'Inputs &amp; Outputs'!B$13+'Inputs &amp; Outputs'!B$19),1,0)</f>
        <v>1</v>
      </c>
      <c r="J23" s="55">
        <f>I23*'Inputs &amp; Outputs'!B$16*'Benefit Calculations'!G23*('Benefit Calculations'!C$4-'Benefit Calculations'!C$5)</f>
        <v>1172.1142833918275</v>
      </c>
      <c r="K23" s="71">
        <f t="shared" si="3"/>
        <v>0.33592933041353806</v>
      </c>
      <c r="L23" s="56">
        <f>K23*'Assumed Values'!$C$8</f>
        <v>2522.1574127448439</v>
      </c>
      <c r="M23" s="57">
        <f t="shared" si="0"/>
        <v>697.39754178900864</v>
      </c>
      <c r="N23" s="55">
        <f>I23*'Inputs &amp; Outputs'!B$16*'Benefit Calculations'!G23*('Benefit Calculations'!D$4-'Benefit Calculations'!D$5)</f>
        <v>608.40152429874604</v>
      </c>
      <c r="O23" s="71">
        <f t="shared" si="4"/>
        <v>0.17436859150698641</v>
      </c>
      <c r="P23" s="56">
        <f>ABS(O23*'Assumed Values'!$C$7)</f>
        <v>332.17216682080914</v>
      </c>
      <c r="Q23" s="57">
        <f t="shared" si="1"/>
        <v>91.848372120220418</v>
      </c>
      <c r="T23" s="68">
        <f t="shared" si="5"/>
        <v>0.30474971368187515</v>
      </c>
      <c r="U23" s="69">
        <f>T23*'Assumed Values'!$D$8</f>
        <v>0</v>
      </c>
    </row>
    <row r="24" spans="3:21">
      <c r="F24" s="54">
        <f t="shared" si="2"/>
        <v>2038</v>
      </c>
      <c r="G24" s="63">
        <f t="shared" si="6"/>
        <v>45575.711343782255</v>
      </c>
      <c r="H24" s="62">
        <f t="shared" si="8"/>
        <v>2.9437551061004541E-3</v>
      </c>
      <c r="I24" s="54">
        <f>IF(AND(F24&gt;='Inputs &amp; Outputs'!B$13,F24&lt;'Inputs &amp; Outputs'!B$13+'Inputs &amp; Outputs'!B$19),1,0)</f>
        <v>1</v>
      </c>
      <c r="J24" s="55">
        <f>I24*'Inputs &amp; Outputs'!B$16*'Benefit Calculations'!G24*('Benefit Calculations'!C$4-'Benefit Calculations'!C$5)</f>
        <v>1175.5647007984956</v>
      </c>
      <c r="K24" s="71">
        <f t="shared" si="3"/>
        <v>0.33691822409523187</v>
      </c>
      <c r="L24" s="56">
        <f>K24*'Assumed Values'!$C$8</f>
        <v>2529.582026507001</v>
      </c>
      <c r="M24" s="57">
        <f t="shared" si="0"/>
        <v>653.69206482582445</v>
      </c>
      <c r="N24" s="55">
        <f>I24*'Inputs &amp; Outputs'!B$16*'Benefit Calculations'!G24*('Benefit Calculations'!D$4-'Benefit Calculations'!D$5)</f>
        <v>610.19250939245978</v>
      </c>
      <c r="O24" s="71">
        <f t="shared" si="4"/>
        <v>0.17488188993857867</v>
      </c>
      <c r="P24" s="56">
        <f>ABS(O24*'Assumed Values'!$C$7)</f>
        <v>333.15000033299236</v>
      </c>
      <c r="Q24" s="57">
        <f t="shared" si="1"/>
        <v>86.092290873491905</v>
      </c>
      <c r="T24" s="68">
        <f t="shared" si="5"/>
        <v>0.30564682220760886</v>
      </c>
      <c r="U24" s="69">
        <f>T24*'Assumed Values'!$D$8</f>
        <v>0</v>
      </c>
    </row>
    <row r="25" spans="3:21">
      <c r="F25" s="54">
        <f t="shared" si="2"/>
        <v>2039</v>
      </c>
      <c r="G25" s="63">
        <f t="shared" si="6"/>
        <v>45709.875076764678</v>
      </c>
      <c r="H25" s="62">
        <f t="shared" si="8"/>
        <v>2.9437551061004541E-3</v>
      </c>
      <c r="I25" s="54">
        <f>IF(AND(F25&gt;='Inputs &amp; Outputs'!B$13,F25&lt;'Inputs &amp; Outputs'!B$13+'Inputs &amp; Outputs'!B$19),1,0)</f>
        <v>1</v>
      </c>
      <c r="J25" s="55">
        <f>I25*'Inputs &amp; Outputs'!B$16*'Benefit Calculations'!G25*('Benefit Calculations'!C$4-'Benefit Calculations'!C$5)</f>
        <v>1179.0252753890227</v>
      </c>
      <c r="K25" s="71">
        <f t="shared" si="3"/>
        <v>0.33791002883775056</v>
      </c>
      <c r="L25" s="56">
        <f>K25*'Assumed Values'!$C$8</f>
        <v>2537.0284965138312</v>
      </c>
      <c r="M25" s="57">
        <f t="shared" si="0"/>
        <v>612.72558334530163</v>
      </c>
      <c r="N25" s="55">
        <f>I25*'Inputs &amp; Outputs'!B$16*'Benefit Calculations'!G25*('Benefit Calculations'!D$4-'Benefit Calculations'!D$5)</f>
        <v>611.98876670768811</v>
      </c>
      <c r="O25" s="71">
        <f t="shared" si="4"/>
        <v>0.17539669939504984</v>
      </c>
      <c r="P25" s="56">
        <f>ABS(O25*'Assumed Values'!$C$7)</f>
        <v>334.13071234756995</v>
      </c>
      <c r="Q25" s="57">
        <f t="shared" si="1"/>
        <v>80.696939714342648</v>
      </c>
      <c r="T25" s="68">
        <f t="shared" si="5"/>
        <v>0.3065465716011459</v>
      </c>
      <c r="U25" s="69">
        <f>T25*'Assumed Values'!$D$8</f>
        <v>0</v>
      </c>
    </row>
    <row r="26" spans="3:21">
      <c r="F26" s="54">
        <f t="shared" si="2"/>
        <v>2040</v>
      </c>
      <c r="G26" s="63">
        <f t="shared" si="6"/>
        <v>45844.43375492112</v>
      </c>
      <c r="H26" s="62">
        <f t="shared" si="8"/>
        <v>2.9437551061004541E-3</v>
      </c>
      <c r="I26" s="54">
        <f>IF(AND(F26&gt;='Inputs &amp; Outputs'!B$13,F26&lt;'Inputs &amp; Outputs'!B$13+'Inputs &amp; Outputs'!B$19),1,0)</f>
        <v>1</v>
      </c>
      <c r="J26" s="55">
        <f>I26*'Inputs &amp; Outputs'!B$16*'Benefit Calculations'!G26*('Benefit Calculations'!C$4-'Benefit Calculations'!C$5)</f>
        <v>1182.4960370636707</v>
      </c>
      <c r="K26" s="71">
        <f t="shared" si="3"/>
        <v>0.33890475321054425</v>
      </c>
      <c r="L26" s="56">
        <f>K26*'Assumed Values'!$C$8</f>
        <v>2544.4968871047663</v>
      </c>
      <c r="M26" s="57">
        <f t="shared" si="0"/>
        <v>574.32644617748861</v>
      </c>
      <c r="N26" s="55">
        <f>I26*'Inputs &amp; Outputs'!B$16*'Benefit Calculations'!G26*('Benefit Calculations'!D$4-'Benefit Calculations'!D$5)</f>
        <v>613.7903117645601</v>
      </c>
      <c r="O26" s="71">
        <f t="shared" si="4"/>
        <v>0.17591302432448724</v>
      </c>
      <c r="P26" s="56">
        <f>ABS(O26*'Assumed Values'!$C$7)</f>
        <v>335.11431133814818</v>
      </c>
      <c r="Q26" s="57">
        <f t="shared" si="1"/>
        <v>75.639711909040599</v>
      </c>
      <c r="T26" s="68">
        <f t="shared" si="5"/>
        <v>0.30744896963655438</v>
      </c>
      <c r="U26" s="69">
        <f>T26*'Assumed Values'!$D$8</f>
        <v>0</v>
      </c>
    </row>
    <row r="27" spans="3:21">
      <c r="F27" s="54">
        <f t="shared" si="2"/>
        <v>2041</v>
      </c>
      <c r="G27" s="63">
        <f t="shared" si="6"/>
        <v>45979.38854087345</v>
      </c>
      <c r="H27" s="62">
        <f t="shared" si="8"/>
        <v>2.9437551061004541E-3</v>
      </c>
      <c r="I27" s="54">
        <f>IF(AND(F27&gt;='Inputs &amp; Outputs'!B$13,F27&lt;'Inputs &amp; Outputs'!B$13+'Inputs &amp; Outputs'!B$19),1,0)</f>
        <v>1</v>
      </c>
      <c r="J27" s="55">
        <f>I27*'Inputs &amp; Outputs'!B$16*'Benefit Calculations'!G27*('Benefit Calculations'!C$4-'Benefit Calculations'!C$5)</f>
        <v>1185.9770158107201</v>
      </c>
      <c r="K27" s="71">
        <f t="shared" si="3"/>
        <v>0.3399024058082894</v>
      </c>
      <c r="L27" s="56">
        <f>K27*'Assumed Values'!$C$8</f>
        <v>2551.9872628086368</v>
      </c>
      <c r="M27" s="57">
        <f t="shared" si="0"/>
        <v>538.33375942616067</v>
      </c>
      <c r="N27" s="55">
        <f>I27*'Inputs &amp; Outputs'!B$16*'Benefit Calculations'!G27*('Benefit Calculations'!D$4-'Benefit Calculations'!D$5)</f>
        <v>615.5971601288918</v>
      </c>
      <c r="O27" s="71">
        <f t="shared" si="4"/>
        <v>0.17643086918807194</v>
      </c>
      <c r="P27" s="56">
        <f>ABS(O27*'Assumed Values'!$C$7)</f>
        <v>336.10080580327701</v>
      </c>
      <c r="Q27" s="57">
        <f t="shared" si="1"/>
        <v>70.899417474015664</v>
      </c>
      <c r="T27" s="68">
        <f t="shared" si="5"/>
        <v>0.30835402411078722</v>
      </c>
      <c r="U27" s="69">
        <f>T27*'Assumed Values'!$D$8</f>
        <v>0</v>
      </c>
    </row>
    <row r="28" spans="3:21">
      <c r="F28" s="54">
        <f t="shared" si="2"/>
        <v>2042</v>
      </c>
      <c r="G28" s="63">
        <f t="shared" si="6"/>
        <v>46114.740600666024</v>
      </c>
      <c r="H28" s="62">
        <f t="shared" si="8"/>
        <v>2.9437551061004541E-3</v>
      </c>
      <c r="I28" s="54">
        <f>IF(AND(F28&gt;='Inputs &amp; Outputs'!B$13,F28&lt;'Inputs &amp; Outputs'!B$13+'Inputs &amp; Outputs'!B$19),1,0)</f>
        <v>1</v>
      </c>
      <c r="J28" s="55">
        <f>I28*'Inputs &amp; Outputs'!B$16*'Benefit Calculations'!G28*('Benefit Calculations'!C$4-'Benefit Calculations'!C$5)</f>
        <v>1189.4682417067309</v>
      </c>
      <c r="K28" s="71">
        <f t="shared" si="3"/>
        <v>0.3409029952509634</v>
      </c>
      <c r="L28" s="56">
        <f>K28*'Assumed Values'!$C$8</f>
        <v>2559.4996883442332</v>
      </c>
      <c r="M28" s="57">
        <f t="shared" si="0"/>
        <v>504.59671231706324</v>
      </c>
      <c r="N28" s="55">
        <f>I28*'Inputs &amp; Outputs'!B$16*'Benefit Calculations'!G28*('Benefit Calculations'!D$4-'Benefit Calculations'!D$5)</f>
        <v>617.40932741232223</v>
      </c>
      <c r="O28" s="71">
        <f t="shared" si="4"/>
        <v>0.17695023846011812</v>
      </c>
      <c r="P28" s="56">
        <f>ABS(O28*'Assumed Values'!$C$7)</f>
        <v>337.09020426652501</v>
      </c>
      <c r="Q28" s="57">
        <f t="shared" si="1"/>
        <v>66.456194388994732</v>
      </c>
      <c r="T28" s="68">
        <f t="shared" si="5"/>
        <v>0.30926174284375008</v>
      </c>
      <c r="U28" s="69">
        <f>T28*'Assumed Values'!$D$8</f>
        <v>0</v>
      </c>
    </row>
    <row r="29" spans="3:21">
      <c r="F29" s="54">
        <f t="shared" si="2"/>
        <v>2043</v>
      </c>
      <c r="G29" s="63">
        <f t="shared" si="6"/>
        <v>46250.491103775734</v>
      </c>
      <c r="H29" s="62">
        <f t="shared" si="8"/>
        <v>2.9437551061004541E-3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46386.641223122126</v>
      </c>
      <c r="H30" s="62">
        <f t="shared" si="8"/>
        <v>2.9437551061004541E-3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47212</v>
      </c>
      <c r="H31" s="62">
        <f t="shared" si="8"/>
        <v>2.9437551061004541E-3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47350.980566069215</v>
      </c>
      <c r="H32" s="62">
        <f t="shared" si="8"/>
        <v>2.9437551061004541E-3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47490.370256889444</v>
      </c>
      <c r="H33" s="62">
        <f t="shared" si="8"/>
        <v>2.9437551061004541E-3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47630.170276823766</v>
      </c>
      <c r="H34" s="62">
        <f t="shared" si="8"/>
        <v>2.9437551061004541E-3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47770.381833780601</v>
      </c>
      <c r="H35" s="62">
        <f t="shared" si="8"/>
        <v>2.9437551061004541E-3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47911.006139224162</v>
      </c>
      <c r="H36" s="62">
        <f t="shared" si="8"/>
        <v>2.9437551061004541E-3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23071.67986483546</v>
      </c>
      <c r="K37" s="55">
        <f t="shared" ref="K37:Q37" si="9">SUM(K4:K36)</f>
        <v>6.6123705498082197</v>
      </c>
      <c r="L37" s="58">
        <f t="shared" si="9"/>
        <v>49645.678087960128</v>
      </c>
      <c r="M37" s="59">
        <f t="shared" si="9"/>
        <v>19891.585012708743</v>
      </c>
      <c r="N37" s="55">
        <f t="shared" si="9"/>
        <v>11975.66260968956</v>
      </c>
      <c r="O37" s="55">
        <f t="shared" si="9"/>
        <v>3.4322389708364409</v>
      </c>
      <c r="P37" s="55">
        <f t="shared" si="9"/>
        <v>6538.4152394434195</v>
      </c>
      <c r="Q37" s="59">
        <f t="shared" si="9"/>
        <v>2619.7535735808738</v>
      </c>
      <c r="T37" s="68">
        <f>SUM(T4:T36)</f>
        <v>5.9986367648572205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55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55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55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55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9BE7E-189C-4295-8397-33086813B7D7}"/>
</file>

<file path=customXml/itemProps2.xml><?xml version="1.0" encoding="utf-8"?>
<ds:datastoreItem xmlns:ds="http://schemas.openxmlformats.org/officeDocument/2006/customXml" ds:itemID="{86E24BA5-DA5A-4A24-838F-ABF9396D8AFA}"/>
</file>

<file path=customXml/itemProps3.xml><?xml version="1.0" encoding="utf-8"?>
<ds:datastoreItem xmlns:ds="http://schemas.openxmlformats.org/officeDocument/2006/customXml" ds:itemID="{F7E77A27-ED6D-4803-A118-E7C3648BF6A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