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Y:\htdocs\2018-call-for-projects\documents\"/>
    </mc:Choice>
  </mc:AlternateContent>
  <xr:revisionPtr revIDLastSave="60" documentId="8_{7078633C-98B8-4B0D-8DA6-9DE4502EAA95}" xr6:coauthVersionLast="40" xr6:coauthVersionMax="40" xr10:uidLastSave="{F0FF8493-CB05-41C2-9C5B-C358C231C925}"/>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<sst xmlns="http://schemas.openxmlformats.org/spreadsheetml/2006/main" count="292" uniqueCount="238">
  <si>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</si>
  <si>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</si>
  <si>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</si>
  <si>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</si>
  <si>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</si>
  <si>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</si>
  <si>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</si>
  <si>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</si>
  <si>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</si>
  <si>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</si>
  <si>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</si>
  <si>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</si>
  <si>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</si>
  <si>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</si>
  <si>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</si>
  <si>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</si>
  <si>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</si>
  <si>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</si>
  <si>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</si>
  <si>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</si>
  <si>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</si>
  <si>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</si>
  <si>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</si>
  <si>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</si>
  <si>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</si>
  <si>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</si>
  <si>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</si>
  <si>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</si>
  <si>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</si>
  <si>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</si>
  <si>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</si>
  <si>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</si>
  <si>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</si>
  <si>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</si>
  <si>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</si>
  <si>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</si>
  <si>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</si>
  <si>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</si>
  <si>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</si>
  <si>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</si>
  <si>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</si>
  <si>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</si>
  <si>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</si>
  <si>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</si>
  <si>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</si>
  <si>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</si>
  <si>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</si>
  <si>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</si>
  <si>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</si>
  <si>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1092 Access Management</t>
  </si>
  <si>
    <t>Data entered by the sponsors</t>
  </si>
  <si>
    <t>County</t>
  </si>
  <si>
    <t>Fort Bend</t>
  </si>
  <si>
    <t>HGAC regional travel demand model data provided by HGAC</t>
  </si>
  <si>
    <t>Facility Type</t>
  </si>
  <si>
    <t>Non Freeway</t>
  </si>
  <si>
    <t>Data populated/calculated based on inputs</t>
  </si>
  <si>
    <t>Street Name:</t>
  </si>
  <si>
    <t>FM 1092</t>
  </si>
  <si>
    <t>Benefits calculated by the template</t>
  </si>
  <si>
    <t>Limits (From)</t>
  </si>
  <si>
    <t>SH 6</t>
  </si>
  <si>
    <t>Limits (To)</t>
  </si>
  <si>
    <t>US 59</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</si>
  <si>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</si>
  <si>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</si>
  <si>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</si>
  <si>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</si>
  <si>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</si>
  <si>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</si>
  <si>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</si>
  <si>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</si>
  <si>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</si>
  <si>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</si>
  <si>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</si>
  <si>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</si>
  <si>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</si>
  <si>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</si>
  <si>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</si>
  <si>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</si>
  <si>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</si>
  <si>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</si>
  <si>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</si>
  <si>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</si>
  <si>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</si>
  <si>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</si>
  <si>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</si>
  <si>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</si>
  <si>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</si>
  <si>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</si>
  <si>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</si>
  <si>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</si>
  <si>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</si>
  <si>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</si>
  <si>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</si>
  <si>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</si>
  <si>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</si>
  <si>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</si>
  <si>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</si>
  <si>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</si>
  <si>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</si>
  <si>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</si>
  <si>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</si>
  <si>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</si>
  <si>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</si>
  <si>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</si>
  <si>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</si>
  <si>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</si>
  <si>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</si>
  <si>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</si>
  <si>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</si>
  <si>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</si>
  <si>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</si>
  <si>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</si>
  <si>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</si>
  <si>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</si>
  <si>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</si>
  <si>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</si>
  <si>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</si>
  <si>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</si>
  <si>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</si>
  <si>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</si>
  <si>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</si>
  <si>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</si>
  <si>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</si>
  <si>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</si>
  <si>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</si>
  <si>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</si>
  <si>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</si>
  <si>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</si>
  <si>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</si>
  <si>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</si>
  <si>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</si>
  <si>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</si>
  <si>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</si>
  <si>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</si>
  <si>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</si>
  <si>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</si>
  <si>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</si>
  <si>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</si>
  <si>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</si>
  <si>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</si>
  <si>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</si>
  <si>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</si>
  <si>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</si>
  <si>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</si>
  <si>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</si>
  <si>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</si>
  <si>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</si>
  <si>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</si>
  <si>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</si>
  <si>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</si>
  <si>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</si>
  <si>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</si>
  <si>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</si>
  <si>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</si>
  <si>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</si>
  <si>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</si>
  <si>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</si>
  <si>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</si>
  <si>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 xml:space="preserve">Freight Shuttle System </t>
  </si>
  <si>
    <t>Galveston</t>
  </si>
  <si>
    <t xml:space="preserve">Grade Separation </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</si>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</sst>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4.2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5.96</v>
      </c>
    </row>
    <row r="13" spans="1:7">
      <c r="A13" s="7" t="s">
        <v>65</v>
      </c>
      <c r="B13" s="116">
        <v>241</v>
      </c>
      <c r="F13" s="99"/>
    </row>
    <row r="14" spans="1:7">
      <c r="A14" s="7" t="s">
        <v>66</v>
      </c>
      <c r="B14" s="116" t="s">
        <v>67</v>
      </c>
    </row>
    <row r="17" spans="1:7">
      <c r="A17" s="98" t="s">
        <v>68</v>
      </c>
      <c r="E17" s="130" t="s">
        <v>69</v>
      </c>
      <c r="F17" s="131"/>
    </row>
    <row r="18" spans="1:7">
      <c r="A18" s="7" t="s">
        <v>70</v>
      </c>
      <c r="B18" s="117">
        <v>2023</v>
      </c>
      <c r="E18" s="87" t="s">
        <v>71</v>
      </c>
      <c r="F18" s="122">
        <f>$B$12/$B$32</f>
        <v>0.19866666666666666</v>
      </c>
    </row>
    <row r="19" spans="1:7" ht="30">
      <c r="A19" s="7" t="s">
        <v>72</v>
      </c>
      <c r="B19" s="118" t="s">
        <v>73</v>
      </c>
      <c r="E19" s="89" t="s">
        <v>74</v>
      </c>
      <c r="F19" s="123">
        <f>$B$12/$B$33</f>
        <v>0.42571428571428571</v>
      </c>
    </row>
    <row r="20" spans="1:7" ht="28.5">
      <c r="A20" s="113" t="s">
        <v>75</v>
      </c>
      <c r="B20" s="114">
        <f>VLOOKUP(B19,'Delay Reduction Factors'!B4:C80,2, FALSE)</f>
        <v>0.3</v>
      </c>
      <c r="E20" s="89" t="s">
        <v>76</v>
      </c>
      <c r="F20" s="122">
        <f>$F$19-$F$18</f>
        <v>0.22704761904761905</v>
      </c>
    </row>
    <row r="21" spans="1:7">
      <c r="A21" s="7" t="s">
        <v>77</v>
      </c>
      <c r="B21" s="63">
        <v>20</v>
      </c>
      <c r="D21" s="100"/>
      <c r="E21" s="87" t="s">
        <v>78</v>
      </c>
      <c r="F21" s="122">
        <f>$F$20*$B$20</f>
        <v>6.8114285714285711E-2</v>
      </c>
      <c r="G21" s="101"/>
    </row>
    <row r="22" spans="1:7">
      <c r="D22" s="100"/>
      <c r="E22" s="87" t="s">
        <v>79</v>
      </c>
      <c r="F22" s="122">
        <f>$F$20-$F$21</f>
        <v>0.15893333333333334</v>
      </c>
      <c r="G22" s="101"/>
    </row>
    <row r="23" spans="1:7">
      <c r="E23" s="87" t="s">
        <v>80</v>
      </c>
      <c r="F23" s="122">
        <f>$F$18+$F$22</f>
        <v>0.35760000000000003</v>
      </c>
    </row>
    <row r="24" spans="1:7">
      <c r="A24" s="98" t="s">
        <v>81</v>
      </c>
      <c r="B24" s="102"/>
      <c r="D24" s="100"/>
    </row>
    <row r="25" spans="1:7">
      <c r="A25" s="7" t="s">
        <v>82</v>
      </c>
      <c r="B25" s="126">
        <v>37404</v>
      </c>
      <c r="D25" s="100"/>
    </row>
    <row r="28" spans="1:7">
      <c r="A28" s="87" t="s">
        <v>83</v>
      </c>
      <c r="B28" s="112">
        <f>IF(FacilityType='Delay Reduction Factors'!N5,'Inputs &amp; Outputs'!B25*45%, B25*43%)</f>
        <v>16083.72</v>
      </c>
      <c r="D28" s="100"/>
      <c r="E28" s="103" t="s">
        <v>84</v>
      </c>
      <c r="F28" s="104" t="s">
        <v>2</v>
      </c>
      <c r="G28" s="105" t="s">
        <v>85</v>
      </c>
    </row>
    <row r="29" spans="1:7">
      <c r="A29" s="87" t="s">
        <v>86</v>
      </c>
      <c r="B29" s="95">
        <f>VLOOKUP(Year_Open_to_Traffic?,Calculations!H4:I36,2)</f>
        <v>19477.694505465475</v>
      </c>
      <c r="D29" s="100"/>
      <c r="E29" s="89" t="s">
        <v>87</v>
      </c>
      <c r="F29" s="83">
        <f>$B$29*$F$23</f>
        <v>6965.2235551544545</v>
      </c>
      <c r="G29" s="84">
        <f>$B$29*$F$19</f>
        <v>8291.9328037553023</v>
      </c>
    </row>
    <row r="30" spans="1:7">
      <c r="B30" s="82"/>
      <c r="D30" s="100"/>
    </row>
    <row r="32" spans="1:7">
      <c r="A32" s="106" t="s">
        <v>88</v>
      </c>
      <c r="B32" s="119">
        <v>30</v>
      </c>
      <c r="D32" s="100"/>
    </row>
    <row r="33" spans="1:7" ht="28.5">
      <c r="A33" s="107" t="s">
        <v>89</v>
      </c>
      <c r="B33" s="120">
        <v>14</v>
      </c>
      <c r="D33" s="100"/>
      <c r="E33" s="100"/>
      <c r="F33" s="108"/>
    </row>
    <row r="34" spans="1:7">
      <c r="A34" s="109"/>
      <c r="B34" s="121"/>
      <c r="F34" s="108"/>
      <c r="G34" s="108"/>
    </row>
    <row r="35" spans="1:7">
      <c r="A35" s="87" t="s">
        <v>90</v>
      </c>
      <c r="B35" s="125">
        <f>$B$28</f>
        <v>16083.72</v>
      </c>
    </row>
    <row r="36" spans="1:7">
      <c r="A36" s="106" t="s">
        <v>91</v>
      </c>
      <c r="B36" s="119">
        <v>26558</v>
      </c>
    </row>
    <row r="37" spans="1:7">
      <c r="A37" s="106" t="s">
        <v>92</v>
      </c>
      <c r="B37" s="119">
        <v>21028</v>
      </c>
    </row>
    <row r="38" spans="1:7">
      <c r="A38" s="106" t="s">
        <v>93</v>
      </c>
      <c r="B38" s="119">
        <v>32753</v>
      </c>
    </row>
    <row r="39" spans="1:7">
      <c r="A39" s="106" t="s">
        <v>94</v>
      </c>
      <c r="B39" s="119">
        <v>22541</v>
      </c>
    </row>
    <row r="40" spans="1:7">
      <c r="A40" s="106" t="s">
        <v>95</v>
      </c>
      <c r="B40" s="119">
        <v>32753</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100314.62502837683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1810958.1243401582</v>
      </c>
      <c r="F4" s="21">
        <f>'Inputs &amp; Outputs'!G29*Annual_Days_of_Travel</f>
        <v>2155902.5289763785</v>
      </c>
      <c r="H4" s="49">
        <v>2018</v>
      </c>
      <c r="I4" s="50">
        <f>'Inputs &amp; Outputs'!B28</f>
        <v>16083.72</v>
      </c>
      <c r="J4" s="50">
        <f>IF(H4=Year_Open_to_Traffic?,$F$4,0)</f>
        <v>0</v>
      </c>
      <c r="K4" s="50">
        <f>IF(H4=Year_Open_to_Traffic?,Calculations!$E$4,0)</f>
        <v>0</v>
      </c>
      <c r="L4" s="50">
        <f>IF(AND(H4&gt;=Year_Open_to_Traffic?, Calculations!H4&lt;Year_Open_to_Traffic?+'Inputs &amp; Outputs'!B$21), 1, 0)</f>
        <v>0</v>
      </c>
      <c r="M4" s="65" t="s">
        <v>111</v>
      </c>
      <c r="N4" s="66">
        <f>MIN(E8,1)</f>
        <v>0.60560734995105048</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3.9035076914288869E-2</v>
      </c>
      <c r="F5" s="26"/>
      <c r="H5" s="14">
        <f t="shared" ref="H5:H36" si="3">H4+1</f>
        <v>2019</v>
      </c>
      <c r="I5" s="79">
        <f>(I4*M5)+I4</f>
        <v>16711.549247267885</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3.9035076914288869E-2</v>
      </c>
      <c r="N5" s="71">
        <f t="shared" ref="N5:N11" si="6">N4*(1+IFERROR(_2018_2025_V_C_Growth,_2018_2045_V_C_Growth))</f>
        <v>0.61067956383808686</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3.4800910162731125E-3</v>
      </c>
      <c r="F6" s="26"/>
      <c r="H6" s="49">
        <f t="shared" si="3"/>
        <v>2020</v>
      </c>
      <c r="I6" s="79">
        <f t="shared" ref="I6:I36" si="10">(I5*M6)+I5</f>
        <v>17363.885857491914</v>
      </c>
      <c r="J6" s="50">
        <f t="shared" si="4"/>
        <v>0</v>
      </c>
      <c r="K6" s="50">
        <f>IF(H6=Year_Open_to_Traffic?,Calculations!$E$4,K5+(K5*M6))</f>
        <v>0</v>
      </c>
      <c r="L6" s="50">
        <f>IF(AND(H6&gt;=Year_Open_to_Traffic?, Calculations!H6&lt;Year_Open_to_Traffic?+'Inputs &amp; Outputs'!B$21), 1, 0)</f>
        <v>0</v>
      </c>
      <c r="M6" s="65">
        <f t="shared" si="5"/>
        <v>3.9035076914288869E-2</v>
      </c>
      <c r="N6" s="71">
        <f t="shared" si="6"/>
        <v>0.61579425962980616</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1.2579512607941767E-2</v>
      </c>
      <c r="F7" s="26"/>
      <c r="H7" s="14">
        <f t="shared" si="3"/>
        <v>2021</v>
      </c>
      <c r="I7" s="79">
        <f t="shared" si="10"/>
        <v>18041.686477470044</v>
      </c>
      <c r="J7" s="50">
        <f t="shared" si="4"/>
        <v>0</v>
      </c>
      <c r="K7" s="50">
        <f>IF(H7=Year_Open_to_Traffic?,Calculations!$E$4,K6+(K6*M7))</f>
        <v>0</v>
      </c>
      <c r="L7" s="50">
        <f>IF(AND(H7&gt;=Year_Open_to_Traffic?, Calculations!H7&lt;Year_Open_to_Traffic?+'Inputs &amp; Outputs'!B$21), 1, 0)</f>
        <v>0</v>
      </c>
      <c r="M7" s="65">
        <f t="shared" si="5"/>
        <v>3.9035076914288869E-2</v>
      </c>
      <c r="N7" s="71">
        <f t="shared" si="6"/>
        <v>0.62095179312986037</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0.60560734995105048</v>
      </c>
      <c r="F8" s="26"/>
      <c r="H8" s="49">
        <f t="shared" si="3"/>
        <v>2022</v>
      </c>
      <c r="I8" s="79">
        <f t="shared" si="10"/>
        <v>18745.945096781572</v>
      </c>
      <c r="J8" s="50">
        <f t="shared" si="4"/>
        <v>0</v>
      </c>
      <c r="K8" s="50">
        <f>IF(H8=Year_Open_to_Traffic?,Calculations!$E$4,K7+(K7*M8))</f>
        <v>0</v>
      </c>
      <c r="L8" s="50">
        <f>IF(AND(H8&gt;=Year_Open_to_Traffic?, Calculations!H8&lt;Year_Open_to_Traffic?+'Inputs &amp; Outputs'!B$21), 1, 0)</f>
        <v>0</v>
      </c>
      <c r="M8" s="65">
        <f t="shared" si="5"/>
        <v>3.9035076914288869E-2</v>
      </c>
      <c r="N8" s="71">
        <f t="shared" si="6"/>
        <v>0.62615252312190561</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0.64201752511220345</v>
      </c>
      <c r="F9" s="26"/>
      <c r="H9" s="14">
        <f t="shared" si="3"/>
        <v>2023</v>
      </c>
      <c r="I9" s="79">
        <f t="shared" si="10"/>
        <v>19477.694505465475</v>
      </c>
      <c r="J9" s="50">
        <f t="shared" si="4"/>
        <v>2155902.5289763785</v>
      </c>
      <c r="K9" s="50">
        <f>IF(H9=Year_Open_to_Traffic?,Calculations!$E$4,K8+(K8*M9))</f>
        <v>1810958.1243401582</v>
      </c>
      <c r="L9" s="50">
        <f>IF(AND(H9&gt;=Year_Open_to_Traffic?, Calculations!H9&lt;Year_Open_to_Traffic?+'Inputs &amp; Outputs'!B$21), 1, 0)</f>
        <v>1</v>
      </c>
      <c r="M9" s="65">
        <f t="shared" si="5"/>
        <v>3.9035076914288869E-2</v>
      </c>
      <c r="N9" s="71">
        <f t="shared" si="6"/>
        <v>0.63139681139456039</v>
      </c>
      <c r="O9" s="72">
        <f t="shared" si="7"/>
        <v>1</v>
      </c>
      <c r="P9" s="68">
        <f t="shared" si="8"/>
        <v>344944.40463622031</v>
      </c>
      <c r="Q9" s="69">
        <f t="shared" si="0"/>
        <v>1</v>
      </c>
      <c r="R9" s="70">
        <f t="shared" si="1"/>
        <v>19.863344048684343</v>
      </c>
      <c r="S9" s="77">
        <f t="shared" si="2"/>
        <v>9523.9316478713845</v>
      </c>
      <c r="T9" s="64">
        <f t="shared" si="9"/>
        <v>6790.4316392794162</v>
      </c>
      <c r="W9" s="58"/>
    </row>
    <row r="10" spans="1:24">
      <c r="D10" s="17" t="s">
        <v>120</v>
      </c>
      <c r="E10" s="22">
        <f>_2045_PeakVolume/_2045_Capacity</f>
        <v>0.6882117668610509</v>
      </c>
      <c r="F10" s="26"/>
      <c r="H10" s="49">
        <f t="shared" si="3"/>
        <v>2024</v>
      </c>
      <c r="I10" s="79">
        <f t="shared" si="10"/>
        <v>20238.007808599341</v>
      </c>
      <c r="J10" s="50">
        <f t="shared" si="4"/>
        <v>2240058.3500146815</v>
      </c>
      <c r="K10" s="50">
        <f>IF(H10=Year_Open_to_Traffic?,Calculations!$E$4,K9+(K9*M10))</f>
        <v>1881649.0140123325</v>
      </c>
      <c r="L10" s="50">
        <f>IF(AND(H10&gt;=Year_Open_to_Traffic?, Calculations!H10&lt;Year_Open_to_Traffic?+'Inputs &amp; Outputs'!B$21), 1, 0)</f>
        <v>1</v>
      </c>
      <c r="M10" s="65">
        <f t="shared" si="5"/>
        <v>3.9035076914288869E-2</v>
      </c>
      <c r="N10" s="71">
        <f t="shared" si="6"/>
        <v>0.63668502276657368</v>
      </c>
      <c r="O10" s="72">
        <f t="shared" si="7"/>
        <v>1</v>
      </c>
      <c r="P10" s="68">
        <f>(J10-K10)*L10</f>
        <v>358409.33600234892</v>
      </c>
      <c r="Q10" s="69">
        <f t="shared" si="0"/>
        <v>1</v>
      </c>
      <c r="R10" s="70">
        <f t="shared" si="1"/>
        <v>20.320200961804083</v>
      </c>
      <c r="S10" s="77">
        <f t="shared" si="2"/>
        <v>10123.300130474747</v>
      </c>
      <c r="T10" s="64">
        <f t="shared" si="9"/>
        <v>6745.5823213025342</v>
      </c>
      <c r="W10" s="58"/>
    </row>
    <row r="11" spans="1:24" ht="30" customHeight="1">
      <c r="A11" s="132" t="s">
        <v>121</v>
      </c>
      <c r="B11" s="133"/>
      <c r="D11" s="17" t="s">
        <v>122</v>
      </c>
      <c r="E11" s="39">
        <f>(E9/E8)^(1/(2025-2018))-1</f>
        <v>8.3754166580811695E-3</v>
      </c>
      <c r="F11" s="26"/>
      <c r="H11" s="14">
        <f t="shared" si="3"/>
        <v>2025</v>
      </c>
      <c r="I11" s="79">
        <f t="shared" si="10"/>
        <v>21027.999999999996</v>
      </c>
      <c r="J11" s="50">
        <f t="shared" si="4"/>
        <v>2327499.1999999997</v>
      </c>
      <c r="K11" s="50">
        <f>IF(H11=Year_Open_to_Traffic?,Calculations!$E$4,K10+(K10*M11))</f>
        <v>1955099.3279999997</v>
      </c>
      <c r="L11" s="50">
        <f>IF(AND(H11&gt;=Year_Open_to_Traffic?, Calculations!H11&lt;Year_Open_to_Traffic?+'Inputs &amp; Outputs'!B$21), 1, 0)</f>
        <v>1</v>
      </c>
      <c r="M11" s="65">
        <f t="shared" si="5"/>
        <v>3.9035076914288869E-2</v>
      </c>
      <c r="N11" s="71">
        <f t="shared" si="6"/>
        <v>0.64201752511220367</v>
      </c>
      <c r="O11" s="72">
        <f t="shared" si="7"/>
        <v>1</v>
      </c>
      <c r="P11" s="68">
        <f t="shared" si="8"/>
        <v>372399.87199999997</v>
      </c>
      <c r="Q11" s="69">
        <f t="shared" si="0"/>
        <v>1</v>
      </c>
      <c r="R11" s="70">
        <f t="shared" si="1"/>
        <v>20.787565583925574</v>
      </c>
      <c r="S11" s="77">
        <f t="shared" si="2"/>
        <v>10760.388600077229</v>
      </c>
      <c r="T11" s="64">
        <f t="shared" si="9"/>
        <v>6701.0292232759912</v>
      </c>
      <c r="W11" s="58"/>
    </row>
    <row r="12" spans="1:24">
      <c r="A12" s="17" t="s">
        <v>123</v>
      </c>
      <c r="B12" s="18">
        <v>0.45</v>
      </c>
      <c r="D12" s="17" t="s">
        <v>124</v>
      </c>
      <c r="E12" s="39">
        <f>(E10/E9)^(1/(2045-2025))-1</f>
        <v>3.4800910162731125E-3</v>
      </c>
      <c r="F12" s="26"/>
      <c r="H12" s="49">
        <v>2026</v>
      </c>
      <c r="I12" s="79">
        <f t="shared" si="10"/>
        <v>21101.179353890187</v>
      </c>
      <c r="J12" s="50">
        <f t="shared" si="4"/>
        <v>2335599.1090563023</v>
      </c>
      <c r="K12" s="50">
        <f>IF(H12=Year_Open_to_Traffic?,Calculations!$E$4,K11+(K11*M12))</f>
        <v>1961903.2516072942</v>
      </c>
      <c r="L12" s="50">
        <f>IF(AND(H12&gt;=Year_Open_to_Traffic?, Calculations!H12&lt;Year_Open_to_Traffic?+'Inputs &amp; Outputs'!B$21), 1, 0)</f>
        <v>1</v>
      </c>
      <c r="M12" s="65">
        <f t="shared" ref="M12:M36" si="11">IFERROR(_2025_2045_Demand_Growth,_2018_2045_Demand_Growth)</f>
        <v>3.4800910162731125E-3</v>
      </c>
      <c r="N12" s="71">
        <f t="shared" ref="N12:N36" si="12">N11*(1+IFERROR(_2025_2045_V_C_Growth,_2018_2045_V_C_Growth))</f>
        <v>0.64425180453363651</v>
      </c>
      <c r="O12" s="72">
        <f t="shared" si="7"/>
        <v>1</v>
      </c>
      <c r="P12" s="68">
        <f t="shared" si="8"/>
        <v>373695.85744900815</v>
      </c>
      <c r="Q12" s="69">
        <f t="shared" si="0"/>
        <v>1</v>
      </c>
      <c r="R12" s="70">
        <f t="shared" si="1"/>
        <v>21.265679592355859</v>
      </c>
      <c r="S12" s="77">
        <f t="shared" si="2"/>
        <v>11046.1859536068</v>
      </c>
      <c r="T12" s="64">
        <f t="shared" si="9"/>
        <v>6428.980795717599</v>
      </c>
      <c r="W12" s="58"/>
    </row>
    <row r="13" spans="1:24">
      <c r="A13" s="17" t="s">
        <v>55</v>
      </c>
      <c r="B13" s="18">
        <v>0.43</v>
      </c>
      <c r="D13" s="17" t="s">
        <v>125</v>
      </c>
      <c r="E13" s="39">
        <f>(E10/E8)^(1/(2045-2018))-1</f>
        <v>4.7469628751755089E-3</v>
      </c>
      <c r="F13" s="26"/>
      <c r="H13" s="14">
        <f t="shared" si="3"/>
        <v>2027</v>
      </c>
      <c r="I13" s="79">
        <f t="shared" si="10"/>
        <v>21174.613378592428</v>
      </c>
      <c r="J13" s="50">
        <f t="shared" si="4"/>
        <v>2343727.2065333445</v>
      </c>
      <c r="K13" s="50">
        <f>IF(H13=Year_Open_to_Traffic?,Calculations!$E$4,K12+(K12*M13))</f>
        <v>1968730.8534880097</v>
      </c>
      <c r="L13" s="50">
        <f>IF(AND(H13&gt;=Year_Open_to_Traffic?, Calculations!H13&lt;Year_Open_to_Traffic?+'Inputs &amp; Outputs'!B$21), 1, 0)</f>
        <v>1</v>
      </c>
      <c r="M13" s="65">
        <f t="shared" si="11"/>
        <v>3.4800910162731125E-3</v>
      </c>
      <c r="N13" s="71">
        <f t="shared" si="12"/>
        <v>0.64649385945081173</v>
      </c>
      <c r="O13" s="72">
        <f t="shared" si="7"/>
        <v>1</v>
      </c>
      <c r="P13" s="68">
        <f t="shared" si="8"/>
        <v>374996.35304533481</v>
      </c>
      <c r="Q13" s="69">
        <f t="shared" si="0"/>
        <v>1</v>
      </c>
      <c r="R13" s="70">
        <f t="shared" si="1"/>
        <v>21.754790222980041</v>
      </c>
      <c r="S13" s="77">
        <f t="shared" si="2"/>
        <v>11339.574122888511</v>
      </c>
      <c r="T13" s="64">
        <f t="shared" si="9"/>
        <v>6167.9769919731052</v>
      </c>
      <c r="W13" s="58"/>
    </row>
    <row r="14" spans="1:24">
      <c r="H14" s="49">
        <f>H13+1</f>
        <v>2028</v>
      </c>
      <c r="I14" s="79">
        <f t="shared" si="10"/>
        <v>21248.302960384324</v>
      </c>
      <c r="J14" s="50">
        <f t="shared" si="4"/>
        <v>2351883.5905293962</v>
      </c>
      <c r="K14" s="50">
        <f>IF(H14=Year_Open_to_Traffic?,Calculations!$E$4,K13+(K13*M14))</f>
        <v>1975582.216044693</v>
      </c>
      <c r="L14" s="50">
        <f>IF(AND(H14&gt;=Year_Open_to_Traffic?, Calculations!H14&lt;Year_Open_to_Traffic?+'Inputs &amp; Outputs'!B$21), 1, 0)</f>
        <v>1</v>
      </c>
      <c r="M14" s="65">
        <f t="shared" si="11"/>
        <v>3.4800910162731125E-3</v>
      </c>
      <c r="N14" s="71">
        <f t="shared" si="12"/>
        <v>0.64874371692316224</v>
      </c>
      <c r="O14" s="72">
        <f t="shared" si="7"/>
        <v>1</v>
      </c>
      <c r="P14" s="68">
        <f t="shared" si="8"/>
        <v>376301.37448470318</v>
      </c>
      <c r="Q14" s="69">
        <f t="shared" si="0"/>
        <v>1</v>
      </c>
      <c r="R14" s="70">
        <f t="shared" si="1"/>
        <v>22.255150398108579</v>
      </c>
      <c r="S14" s="77">
        <f t="shared" si="2"/>
        <v>11640.754720999144</v>
      </c>
      <c r="T14" s="64">
        <f t="shared" si="9"/>
        <v>5917.5694223337896</v>
      </c>
      <c r="W14" s="58"/>
    </row>
    <row r="15" spans="1:24">
      <c r="H15" s="14">
        <f t="shared" si="3"/>
        <v>2029</v>
      </c>
      <c r="I15" s="79">
        <f t="shared" si="10"/>
        <v>21322.248988627805</v>
      </c>
      <c r="J15" s="50">
        <f t="shared" si="4"/>
        <v>2360068.3594841175</v>
      </c>
      <c r="K15" s="50">
        <f>IF(H15=Year_Open_to_Traffic?,Calculations!$E$4,K14+(K14*M15))</f>
        <v>1982457.4219666591</v>
      </c>
      <c r="L15" s="50">
        <f>IF(AND(H15&gt;=Year_Open_to_Traffic?, Calculations!H15&lt;Year_Open_to_Traffic?+'Inputs &amp; Outputs'!B$21), 1, 0)</f>
        <v>1</v>
      </c>
      <c r="M15" s="65">
        <f t="shared" si="11"/>
        <v>3.4800910162731125E-3</v>
      </c>
      <c r="N15" s="71">
        <f t="shared" si="12"/>
        <v>0.65100140410429019</v>
      </c>
      <c r="O15" s="72">
        <f t="shared" si="7"/>
        <v>1</v>
      </c>
      <c r="P15" s="68">
        <f t="shared" si="8"/>
        <v>377610.93751745834</v>
      </c>
      <c r="Q15" s="69">
        <f t="shared" si="0"/>
        <v>1</v>
      </c>
      <c r="R15" s="70">
        <f t="shared" si="1"/>
        <v>22.767018857265079</v>
      </c>
      <c r="S15" s="77">
        <f t="shared" si="2"/>
        <v>11949.934715885629</v>
      </c>
      <c r="T15" s="64">
        <f t="shared" si="9"/>
        <v>5677.3279008192039</v>
      </c>
      <c r="W15" s="58"/>
    </row>
    <row r="16" spans="1:24">
      <c r="H16" s="49">
        <f t="shared" si="3"/>
        <v>2030</v>
      </c>
      <c r="I16" s="79">
        <f t="shared" si="10"/>
        <v>21396.452355779868</v>
      </c>
      <c r="J16" s="50">
        <f t="shared" si="4"/>
        <v>2368281.6121797487</v>
      </c>
      <c r="K16" s="50">
        <f>IF(H16=Year_Open_to_Traffic?,Calculations!$E$4,K15+(K15*M16))</f>
        <v>1989356.5542309892</v>
      </c>
      <c r="L16" s="50">
        <f>IF(AND(H16&gt;=Year_Open_to_Traffic?, Calculations!H16&lt;Year_Open_to_Traffic?+'Inputs &amp; Outputs'!B$21), 1, 0)</f>
        <v>1</v>
      </c>
      <c r="M16" s="65">
        <f t="shared" si="11"/>
        <v>3.4800910162731125E-3</v>
      </c>
      <c r="N16" s="71">
        <f t="shared" si="12"/>
        <v>0.6532669482422947</v>
      </c>
      <c r="O16" s="72">
        <f t="shared" si="7"/>
        <v>1</v>
      </c>
      <c r="P16" s="68">
        <f t="shared" si="8"/>
        <v>378925.05794875952</v>
      </c>
      <c r="Q16" s="69">
        <f t="shared" si="0"/>
        <v>1</v>
      </c>
      <c r="R16" s="70">
        <f t="shared" si="1"/>
        <v>23.290660290982171</v>
      </c>
      <c r="S16" s="77">
        <f t="shared" si="2"/>
        <v>12267.326572591155</v>
      </c>
      <c r="T16" s="64">
        <f t="shared" si="9"/>
        <v>5446.8397061421329</v>
      </c>
      <c r="W16" s="58"/>
    </row>
    <row r="17" spans="1:23">
      <c r="A17" s="27"/>
      <c r="H17" s="14">
        <f t="shared" si="3"/>
        <v>2031</v>
      </c>
      <c r="I17" s="79">
        <f t="shared" si="10"/>
        <v>21470.913957403332</v>
      </c>
      <c r="J17" s="50">
        <f t="shared" si="4"/>
        <v>2376523.4477423001</v>
      </c>
      <c r="K17" s="50">
        <f>IF(H17=Year_Open_to_Traffic?,Calculations!$E$4,K16+(K16*M17))</f>
        <v>1996279.6961035326</v>
      </c>
      <c r="L17" s="50">
        <f>IF(AND(H17&gt;=Year_Open_to_Traffic?, Calculations!H17&lt;Year_Open_to_Traffic?+'Inputs &amp; Outputs'!B$21), 1, 0)</f>
        <v>1</v>
      </c>
      <c r="M17" s="65">
        <f t="shared" si="11"/>
        <v>3.4800910162731125E-3</v>
      </c>
      <c r="N17" s="71">
        <f t="shared" si="12"/>
        <v>0.6555403766801009</v>
      </c>
      <c r="O17" s="72">
        <f t="shared" si="7"/>
        <v>1</v>
      </c>
      <c r="P17" s="68">
        <f t="shared" si="8"/>
        <v>380243.75163876754</v>
      </c>
      <c r="Q17" s="69">
        <f t="shared" si="0"/>
        <v>1</v>
      </c>
      <c r="R17" s="70">
        <f t="shared" si="1"/>
        <v>23.82634547767476</v>
      </c>
      <c r="S17" s="77">
        <f t="shared" si="2"/>
        <v>12593.148399258682</v>
      </c>
      <c r="T17" s="64">
        <f t="shared" si="9"/>
        <v>5225.7088726767997</v>
      </c>
      <c r="W17" s="58"/>
    </row>
    <row r="18" spans="1:23">
      <c r="H18" s="49">
        <f t="shared" si="3"/>
        <v>2032</v>
      </c>
      <c r="I18" s="79">
        <f t="shared" si="10"/>
        <v>21545.634692177664</v>
      </c>
      <c r="J18" s="50">
        <f t="shared" si="4"/>
        <v>2384793.9656427503</v>
      </c>
      <c r="K18" s="50">
        <f>IF(H18=Year_Open_to_Traffic?,Calculations!$E$4,K17+(K17*M18))</f>
        <v>2003226.9311399108</v>
      </c>
      <c r="L18" s="50">
        <f>IF(AND(H18&gt;=Year_Open_to_Traffic?, Calculations!H18&lt;Year_Open_to_Traffic?+'Inputs &amp; Outputs'!B$21), 1, 0)</f>
        <v>1</v>
      </c>
      <c r="M18" s="65">
        <f t="shared" si="11"/>
        <v>3.4800910162731125E-3</v>
      </c>
      <c r="N18" s="71">
        <f t="shared" si="12"/>
        <v>0.65782171685578961</v>
      </c>
      <c r="O18" s="72">
        <f t="shared" si="7"/>
        <v>1</v>
      </c>
      <c r="P18" s="68">
        <f t="shared" si="8"/>
        <v>381567.03450283944</v>
      </c>
      <c r="Q18" s="69">
        <f t="shared" si="0"/>
        <v>1</v>
      </c>
      <c r="R18" s="70">
        <f t="shared" si="1"/>
        <v>24.374351423661277</v>
      </c>
      <c r="S18" s="77">
        <f t="shared" si="2"/>
        <v>12927.624097012529</v>
      </c>
      <c r="T18" s="64">
        <f t="shared" si="9"/>
        <v>5013.5555102124854</v>
      </c>
      <c r="W18" s="58"/>
    </row>
    <row r="19" spans="1:23">
      <c r="H19" s="14">
        <f t="shared" si="3"/>
        <v>2033</v>
      </c>
      <c r="I19" s="79">
        <f t="shared" si="10"/>
        <v>21620.615461909812</v>
      </c>
      <c r="J19" s="50">
        <f t="shared" si="4"/>
        <v>2393093.2656982457</v>
      </c>
      <c r="K19" s="50">
        <f>IF(H19=Year_Open_to_Traffic?,Calculations!$E$4,K18+(K18*M19))</f>
        <v>2010198.3431865273</v>
      </c>
      <c r="L19" s="50">
        <f>IF(AND(H19&gt;=Year_Open_to_Traffic?, Calculations!H19&lt;Year_Open_to_Traffic?+'Inputs &amp; Outputs'!B$21), 1, 0)</f>
        <v>1</v>
      </c>
      <c r="M19" s="65">
        <f t="shared" si="11"/>
        <v>3.4800910162731125E-3</v>
      </c>
      <c r="N19" s="71">
        <f t="shared" si="12"/>
        <v>0.6601109963029288</v>
      </c>
      <c r="O19" s="72">
        <f t="shared" si="7"/>
        <v>1</v>
      </c>
      <c r="P19" s="68">
        <f t="shared" si="8"/>
        <v>382894.92251171847</v>
      </c>
      <c r="Q19" s="69">
        <f t="shared" si="0"/>
        <v>1</v>
      </c>
      <c r="R19" s="70">
        <f t="shared" si="1"/>
        <v>24.934961506405479</v>
      </c>
      <c r="S19" s="77">
        <f t="shared" si="2"/>
        <v>13270.983513820654</v>
      </c>
      <c r="T19" s="64">
        <f t="shared" si="9"/>
        <v>4810.0151513236724</v>
      </c>
      <c r="W19" s="58"/>
    </row>
    <row r="20" spans="1:23">
      <c r="H20" s="49">
        <f t="shared" si="3"/>
        <v>2034</v>
      </c>
      <c r="I20" s="79">
        <f t="shared" si="10"/>
        <v>21695.8571715451</v>
      </c>
      <c r="J20" s="50">
        <f t="shared" si="4"/>
        <v>2401421.4480733057</v>
      </c>
      <c r="K20" s="50">
        <f>IF(H20=Year_Open_to_Traffic?,Calculations!$E$4,K19+(K19*M20))</f>
        <v>2017194.0163815778</v>
      </c>
      <c r="L20" s="50">
        <f>IF(AND(H20&gt;=Year_Open_to_Traffic?, Calculations!H20&lt;Year_Open_to_Traffic?+'Inputs &amp; Outputs'!B$21), 1, 0)</f>
        <v>1</v>
      </c>
      <c r="M20" s="65">
        <f t="shared" si="11"/>
        <v>3.4800910162731125E-3</v>
      </c>
      <c r="N20" s="71">
        <f t="shared" si="12"/>
        <v>0.6624082426509057</v>
      </c>
      <c r="O20" s="72">
        <f t="shared" si="7"/>
        <v>1</v>
      </c>
      <c r="P20" s="68">
        <f t="shared" si="8"/>
        <v>384227.43169172783</v>
      </c>
      <c r="Q20" s="69">
        <f t="shared" si="0"/>
        <v>1</v>
      </c>
      <c r="R20" s="70">
        <f t="shared" si="1"/>
        <v>25.508465621052807</v>
      </c>
      <c r="S20" s="77">
        <f t="shared" si="2"/>
        <v>13623.462602443658</v>
      </c>
      <c r="T20" s="64">
        <f t="shared" si="9"/>
        <v>4614.7381252357454</v>
      </c>
      <c r="W20" s="58"/>
    </row>
    <row r="21" spans="1:23">
      <c r="H21" s="14">
        <f t="shared" si="3"/>
        <v>2035</v>
      </c>
      <c r="I21" s="79">
        <f t="shared" si="10"/>
        <v>21771.360729178137</v>
      </c>
      <c r="J21" s="50">
        <f t="shared" si="4"/>
        <v>2409778.6132810311</v>
      </c>
      <c r="K21" s="50">
        <f>IF(H21=Year_Open_to_Traffic?,Calculations!$E$4,K20+(K20*M21))</f>
        <v>2024214.0351560672</v>
      </c>
      <c r="L21" s="50">
        <f>IF(AND(H21&gt;=Year_Open_to_Traffic?, Calculations!H21&lt;Year_Open_to_Traffic?+'Inputs &amp; Outputs'!B$21), 1, 0)</f>
        <v>1</v>
      </c>
      <c r="M21" s="65">
        <f t="shared" si="11"/>
        <v>3.4800910162731125E-3</v>
      </c>
      <c r="N21" s="71">
        <f t="shared" si="12"/>
        <v>0.66471348362526039</v>
      </c>
      <c r="O21" s="72">
        <f t="shared" si="7"/>
        <v>1</v>
      </c>
      <c r="P21" s="68">
        <f t="shared" si="8"/>
        <v>385564.57812496391</v>
      </c>
      <c r="Q21" s="69">
        <f t="shared" si="0"/>
        <v>1</v>
      </c>
      <c r="R21" s="70">
        <f t="shared" si="1"/>
        <v>26.095160330337016</v>
      </c>
      <c r="S21" s="77">
        <f t="shared" si="2"/>
        <v>13985.303582578865</v>
      </c>
      <c r="T21" s="64">
        <f t="shared" si="9"/>
        <v>4427.3889571104401</v>
      </c>
      <c r="W21" s="58"/>
    </row>
    <row r="22" spans="1:23">
      <c r="H22" s="49">
        <f>H21+1</f>
        <v>2036</v>
      </c>
      <c r="I22" s="79">
        <f t="shared" si="10"/>
        <v>21847.12704606379</v>
      </c>
      <c r="J22" s="50">
        <f t="shared" si="4"/>
        <v>2418164.8621843173</v>
      </c>
      <c r="K22" s="50">
        <f>IF(H22=Year_Open_to_Traffic?,Calculations!$E$4,K21+(K21*M22))</f>
        <v>2031258.4842348278</v>
      </c>
      <c r="L22" s="50">
        <f>IF(AND(H22&gt;=Year_Open_to_Traffic?, Calculations!H22&lt;Year_Open_to_Traffic?+'Inputs &amp; Outputs'!B$21), 1, 0)</f>
        <v>1</v>
      </c>
      <c r="M22" s="65">
        <f t="shared" si="11"/>
        <v>3.4800910162731125E-3</v>
      </c>
      <c r="N22" s="71">
        <f t="shared" si="12"/>
        <v>0.66702674704802023</v>
      </c>
      <c r="O22" s="72">
        <f t="shared" si="7"/>
        <v>1</v>
      </c>
      <c r="P22" s="68">
        <f t="shared" si="8"/>
        <v>386906.37794948951</v>
      </c>
      <c r="Q22" s="69">
        <f t="shared" si="0"/>
        <v>1</v>
      </c>
      <c r="R22" s="70">
        <f t="shared" si="1"/>
        <v>26.695349017934767</v>
      </c>
      <c r="S22" s="77">
        <f t="shared" si="2"/>
        <v>14356.755107310977</v>
      </c>
      <c r="T22" s="64">
        <f t="shared" si="9"/>
        <v>4247.6457917191337</v>
      </c>
      <c r="W22" s="58"/>
    </row>
    <row r="23" spans="1:23">
      <c r="H23" s="14">
        <f t="shared" si="3"/>
        <v>2037</v>
      </c>
      <c r="I23" s="79">
        <f t="shared" si="10"/>
        <v>21923.157036628174</v>
      </c>
      <c r="J23" s="50">
        <f t="shared" si="4"/>
        <v>2426580.2959970725</v>
      </c>
      <c r="K23" s="50">
        <f>IF(H23=Year_Open_to_Traffic?,Calculations!$E$4,K22+(K22*M23))</f>
        <v>2038327.4486375421</v>
      </c>
      <c r="L23" s="50">
        <f>IF(AND(H23&gt;=Year_Open_to_Traffic?, Calculations!H23&lt;Year_Open_to_Traffic?+'Inputs &amp; Outputs'!B$21), 1, 0)</f>
        <v>1</v>
      </c>
      <c r="M23" s="65">
        <f t="shared" si="11"/>
        <v>3.4800910162731125E-3</v>
      </c>
      <c r="N23" s="71">
        <f t="shared" si="12"/>
        <v>0.66934806083803589</v>
      </c>
      <c r="O23" s="72">
        <f t="shared" si="7"/>
        <v>1</v>
      </c>
      <c r="P23" s="68">
        <f t="shared" si="8"/>
        <v>388252.84735953039</v>
      </c>
      <c r="Q23" s="69">
        <f t="shared" si="0"/>
        <v>1</v>
      </c>
      <c r="R23" s="70">
        <f t="shared" si="1"/>
        <v>27.309342045347261</v>
      </c>
      <c r="S23" s="77">
        <f t="shared" si="2"/>
        <v>14738.072433983767</v>
      </c>
      <c r="T23" s="64">
        <f t="shared" si="9"/>
        <v>4075.199840513857</v>
      </c>
      <c r="W23" s="58"/>
    </row>
    <row r="24" spans="1:23">
      <c r="H24" s="49">
        <f t="shared" si="3"/>
        <v>2038</v>
      </c>
      <c r="I24" s="79">
        <f t="shared" si="10"/>
        <v>21999.451618479688</v>
      </c>
      <c r="J24" s="50">
        <f t="shared" si="4"/>
        <v>2435025.0162854372</v>
      </c>
      <c r="K24" s="50">
        <f>IF(H24=Year_Open_to_Traffic?,Calculations!$E$4,K23+(K23*M24))</f>
        <v>2045421.0136797684</v>
      </c>
      <c r="L24" s="50">
        <f>IF(AND(H24&gt;=Year_Open_to_Traffic?, Calculations!H24&lt;Year_Open_to_Traffic?+'Inputs &amp; Outputs'!B$21), 1, 0)</f>
        <v>1</v>
      </c>
      <c r="M24" s="65">
        <f t="shared" si="11"/>
        <v>3.4800910162731125E-3</v>
      </c>
      <c r="N24" s="71">
        <f t="shared" si="12"/>
        <v>0.6716774530113182</v>
      </c>
      <c r="O24" s="72">
        <f t="shared" si="7"/>
        <v>1</v>
      </c>
      <c r="P24" s="68">
        <f>(J24-K24)*L24</f>
        <v>389604.00260566873</v>
      </c>
      <c r="Q24" s="69">
        <f t="shared" si="0"/>
        <v>1</v>
      </c>
      <c r="R24" s="70">
        <f t="shared" si="1"/>
        <v>27.93745691239025</v>
      </c>
      <c r="S24" s="77">
        <f t="shared" si="2"/>
        <v>15129.517599610001</v>
      </c>
      <c r="T24" s="64">
        <f t="shared" si="9"/>
        <v>3909.7548511460927</v>
      </c>
      <c r="W24" s="58"/>
    </row>
    <row r="25" spans="1:23">
      <c r="H25" s="14">
        <f t="shared" si="3"/>
        <v>2039</v>
      </c>
      <c r="I25" s="79">
        <f t="shared" si="10"/>
        <v>22076.011712420095</v>
      </c>
      <c r="J25" s="50">
        <f t="shared" si="4"/>
        <v>2443499.1249690126</v>
      </c>
      <c r="K25" s="50">
        <f>IF(H25=Year_Open_to_Traffic?,Calculations!$E$4,K24+(K24*M25))</f>
        <v>2052539.2649739715</v>
      </c>
      <c r="L25" s="50">
        <f>IF(AND(H25&gt;=Year_Open_to_Traffic?, Calculations!H25&lt;Year_Open_to_Traffic?+'Inputs &amp; Outputs'!B$21), 1, 0)</f>
        <v>1</v>
      </c>
      <c r="M25" s="65">
        <f t="shared" si="11"/>
        <v>3.4800910162731125E-3</v>
      </c>
      <c r="N25" s="71">
        <f t="shared" si="12"/>
        <v>0.67401495168137615</v>
      </c>
      <c r="O25" s="72">
        <f t="shared" si="7"/>
        <v>1</v>
      </c>
      <c r="P25" s="68">
        <f t="shared" si="8"/>
        <v>390959.85999504104</v>
      </c>
      <c r="Q25" s="69">
        <f t="shared" si="0"/>
        <v>1</v>
      </c>
      <c r="R25" s="70">
        <f t="shared" si="1"/>
        <v>28.580018421375218</v>
      </c>
      <c r="S25" s="77">
        <f t="shared" si="2"/>
        <v>15531.359600940401</v>
      </c>
      <c r="T25" s="64">
        <f t="shared" si="9"/>
        <v>3751.0265985220785</v>
      </c>
      <c r="W25" s="58"/>
    </row>
    <row r="26" spans="1:23">
      <c r="H26" s="49">
        <f t="shared" si="3"/>
        <v>2040</v>
      </c>
      <c r="I26" s="79">
        <f t="shared" si="10"/>
        <v>22152.838242455629</v>
      </c>
      <c r="J26" s="50">
        <f t="shared" si="4"/>
        <v>2452002.7243220885</v>
      </c>
      <c r="K26" s="50">
        <f>IF(H26=Year_Open_to_Traffic?,Calculations!$E$4,K25+(K25*M26))</f>
        <v>2059682.2884305553</v>
      </c>
      <c r="L26" s="50">
        <f>IF(AND(H26&gt;=Year_Open_to_Traffic?, Calculations!H26&lt;Year_Open_to_Traffic?+'Inputs &amp; Outputs'!B$21), 1, 0)</f>
        <v>1</v>
      </c>
      <c r="M26" s="65">
        <f t="shared" si="11"/>
        <v>3.4800910162731125E-3</v>
      </c>
      <c r="N26" s="71">
        <f t="shared" si="12"/>
        <v>0.67636058505955632</v>
      </c>
      <c r="O26" s="72">
        <f t="shared" si="7"/>
        <v>1</v>
      </c>
      <c r="P26" s="68">
        <f t="shared" si="8"/>
        <v>392320.43589153327</v>
      </c>
      <c r="Q26" s="69">
        <f t="shared" si="0"/>
        <v>1</v>
      </c>
      <c r="R26" s="70">
        <f t="shared" si="1"/>
        <v>29.237358845066851</v>
      </c>
      <c r="S26" s="77">
        <f t="shared" si="2"/>
        <v>15943.874579315183</v>
      </c>
      <c r="T26" s="64">
        <f t="shared" si="9"/>
        <v>3598.7423965202374</v>
      </c>
      <c r="W26" s="58"/>
    </row>
    <row r="27" spans="1:23">
      <c r="H27" s="14">
        <f t="shared" si="3"/>
        <v>2041</v>
      </c>
      <c r="I27" s="79">
        <f t="shared" si="10"/>
        <v>22229.932135808151</v>
      </c>
      <c r="J27" s="50">
        <f t="shared" si="4"/>
        <v>2460535.9169748789</v>
      </c>
      <c r="K27" s="50">
        <f>IF(H27=Year_Open_to_Traffic?,Calculations!$E$4,K26+(K26*M27))</f>
        <v>2066850.1702588992</v>
      </c>
      <c r="L27" s="50">
        <f>IF(AND(H27&gt;=Year_Open_to_Traffic?, Calculations!H27&lt;Year_Open_to_Traffic?+'Inputs &amp; Outputs'!B$21), 1, 0)</f>
        <v>1</v>
      </c>
      <c r="M27" s="65">
        <f t="shared" si="11"/>
        <v>3.4800910162731125E-3</v>
      </c>
      <c r="N27" s="71">
        <f t="shared" si="12"/>
        <v>0.67871438145538332</v>
      </c>
      <c r="O27" s="72">
        <f t="shared" si="7"/>
        <v>1</v>
      </c>
      <c r="P27" s="68">
        <f t="shared" si="8"/>
        <v>393685.74671597965</v>
      </c>
      <c r="Q27" s="69">
        <f t="shared" si="0"/>
        <v>1</v>
      </c>
      <c r="R27" s="70">
        <f t="shared" si="1"/>
        <v>29.909818098503379</v>
      </c>
      <c r="S27" s="77">
        <f t="shared" si="2"/>
        <v>16367.34601042531</v>
      </c>
      <c r="T27" s="64">
        <f t="shared" si="9"/>
        <v>3452.6406295319107</v>
      </c>
      <c r="W27" s="58"/>
    </row>
    <row r="28" spans="1:23">
      <c r="H28" s="49">
        <f t="shared" si="3"/>
        <v>2042</v>
      </c>
      <c r="I28" s="79">
        <f t="shared" si="10"/>
        <v>22307.294322926336</v>
      </c>
      <c r="J28" s="50">
        <f t="shared" si="4"/>
        <v>2469098.8059147606</v>
      </c>
      <c r="K28" s="50">
        <f>IF(H28=Year_Open_to_Traffic?,Calculations!$E$4,K27+(K27*M28))</f>
        <v>2074042.9969683997</v>
      </c>
      <c r="L28" s="50">
        <f>IF(AND(H28&gt;=Year_Open_to_Traffic?, Calculations!H28&lt;Year_Open_to_Traffic?+'Inputs &amp; Outputs'!B$21), 1, 0)</f>
        <v>1</v>
      </c>
      <c r="M28" s="65">
        <f t="shared" si="11"/>
        <v>3.4800910162731125E-3</v>
      </c>
      <c r="N28" s="71">
        <f t="shared" si="12"/>
        <v>0.68107636927690152</v>
      </c>
      <c r="O28" s="72">
        <f t="shared" si="7"/>
        <v>1</v>
      </c>
      <c r="P28" s="68">
        <f t="shared" si="8"/>
        <v>395055.80894636083</v>
      </c>
      <c r="Q28" s="69">
        <f t="shared" si="0"/>
        <v>1</v>
      </c>
      <c r="R28" s="70">
        <f t="shared" si="1"/>
        <v>30.597743914768959</v>
      </c>
      <c r="S28" s="77">
        <f t="shared" si="2"/>
        <v>16802.06489911387</v>
      </c>
      <c r="T28" s="64">
        <f t="shared" si="9"/>
        <v>3312.4703030206133</v>
      </c>
      <c r="W28" s="58"/>
    </row>
    <row r="29" spans="1:23">
      <c r="H29" s="14">
        <f t="shared" si="3"/>
        <v>2043</v>
      </c>
      <c r="I29" s="79">
        <f t="shared" si="10"/>
        <v>22384.925737496913</v>
      </c>
      <c r="J29" s="50">
        <f t="shared" si="4"/>
        <v>2477691.4944875152</v>
      </c>
      <c r="K29" s="50">
        <f>IF(H29=Year_Open_to_Traffic?,Calculations!$E$4,K28+(K28*M29))</f>
        <v>2081260.8553695136</v>
      </c>
      <c r="L29" s="50">
        <f>IF(AND(H29&gt;=Year_Open_to_Traffic?, Calculations!H29&lt;Year_Open_to_Traffic?+'Inputs &amp; Outputs'!B$21), 1, 0)</f>
        <v>0</v>
      </c>
      <c r="M29" s="65">
        <f t="shared" si="11"/>
        <v>3.4800910162731125E-3</v>
      </c>
      <c r="N29" s="71">
        <f t="shared" si="12"/>
        <v>0.68344657703101797</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22462.827316455918</v>
      </c>
      <c r="J30" s="50">
        <f t="shared" si="4"/>
        <v>2486314.0863985773</v>
      </c>
      <c r="K30" s="50">
        <f>IF(H30=Year_Open_to_Traffic?,Calculations!$E$4,K29+(K29*M30))</f>
        <v>2088503.8325748059</v>
      </c>
      <c r="L30" s="50">
        <f>IF(AND(H30&gt;=Year_Open_to_Traffic?, Calculations!H30&lt;Year_Open_to_Traffic?+'Inputs &amp; Outputs'!B$21), 1, 0)</f>
        <v>0</v>
      </c>
      <c r="M30" s="65">
        <f t="shared" si="11"/>
        <v>3.4800910162731125E-3</v>
      </c>
      <c r="N30" s="71">
        <f t="shared" si="12"/>
        <v>0.68582503332384626</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22541.000000000011</v>
      </c>
      <c r="J31" s="50">
        <f t="shared" si="4"/>
        <v>2494966.6857142863</v>
      </c>
      <c r="K31" s="50">
        <f>IF(H31=Year_Open_to_Traffic?,Calculations!$E$4,K30+(K30*M31))</f>
        <v>2095772.0160000015</v>
      </c>
      <c r="L31" s="50">
        <f>IF(AND(H31&gt;=Year_Open_to_Traffic?, Calculations!H31&lt;Year_Open_to_Traffic?+'Inputs &amp; Outputs'!B$21), 1, 0)</f>
        <v>0</v>
      </c>
      <c r="M31" s="65">
        <f t="shared" si="11"/>
        <v>3.4800910162731125E-3</v>
      </c>
      <c r="N31" s="71">
        <f t="shared" si="12"/>
        <v>0.68821176686105179</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22619.444731597821</v>
      </c>
      <c r="J32" s="50">
        <f t="shared" si="4"/>
        <v>2503649.3968631411</v>
      </c>
      <c r="K32" s="50">
        <f>IF(H32=Year_Open_to_Traffic?,Calculations!$E$4,K31+(K31*M32))</f>
        <v>2103065.4933650396</v>
      </c>
      <c r="L32" s="50">
        <f>IF(AND(H32&gt;=Year_Open_to_Traffic?, Calculations!H32&lt;Year_Open_to_Traffic?+'Inputs &amp; Outputs'!B$21), 1, 0)</f>
        <v>0</v>
      </c>
      <c r="M32" s="65">
        <f t="shared" si="11"/>
        <v>3.4800910162731125E-3</v>
      </c>
      <c r="N32" s="71">
        <f t="shared" si="12"/>
        <v>0.69060680644819838</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22698.162458001341</v>
      </c>
      <c r="J33" s="50">
        <f t="shared" si="4"/>
        <v>2512362.3246370619</v>
      </c>
      <c r="K33" s="50">
        <f>IF(H33=Year_Open_to_Traffic?,Calculations!$E$4,K32+(K32*M33))</f>
        <v>2110384.3526951331</v>
      </c>
      <c r="L33" s="50">
        <f>IF(AND(H33&gt;=Year_Open_to_Traffic?, Calculations!H33&lt;Year_Open_to_Traffic?+'Inputs &amp; Outputs'!B$21), 1, 0)</f>
        <v>0</v>
      </c>
      <c r="M33" s="65">
        <f t="shared" si="11"/>
        <v>3.4800910162731125E-3</v>
      </c>
      <c r="N33" s="71">
        <f t="shared" si="12"/>
        <v>0.69301018099109579</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22777.154129257338</v>
      </c>
      <c r="J34" s="50">
        <f t="shared" si="4"/>
        <v>2521105.5741926543</v>
      </c>
      <c r="K34" s="50">
        <f>IF(H34=Year_Open_to_Traffic?,Calculations!$E$4,K33+(K33*M34))</f>
        <v>2117728.6823218307</v>
      </c>
      <c r="L34" s="50">
        <f>IF(AND(H34&gt;=Year_Open_to_Traffic?, Calculations!H34&lt;Year_Open_to_Traffic?+'Inputs &amp; Outputs'!B$21), 1, 0)</f>
        <v>0</v>
      </c>
      <c r="M34" s="65">
        <f t="shared" si="11"/>
        <v>3.4800910162731125E-3</v>
      </c>
      <c r="N34" s="71">
        <f t="shared" si="12"/>
        <v>0.69542191949614873</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22856.420698718834</v>
      </c>
      <c r="J35" s="50">
        <f t="shared" si="4"/>
        <v>2529879.2510524783</v>
      </c>
      <c r="K35" s="50">
        <f>IF(H35=Year_Open_to_Traffic?,Calculations!$E$4,K34+(K34*M35))</f>
        <v>2125098.5708840829</v>
      </c>
      <c r="L35" s="50">
        <f>IF(AND(H35&gt;=Year_Open_to_Traffic?, Calculations!H35&lt;Year_Open_to_Traffic?+'Inputs &amp; Outputs'!B$21), 1, 0)</f>
        <v>0</v>
      </c>
      <c r="M35" s="65">
        <f t="shared" si="11"/>
        <v>3.4800910162731125E-3</v>
      </c>
      <c r="N35" s="71">
        <f t="shared" si="12"/>
        <v>0.69784205107070674</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22935.963123056605</v>
      </c>
      <c r="J36" s="50">
        <f t="shared" si="4"/>
        <v>2538683.4611063218</v>
      </c>
      <c r="K36" s="50">
        <f>IF(H36=Year_Open_to_Traffic?,Calculations!$E$4,K35+(K35*M36))</f>
        <v>2132494.1073293113</v>
      </c>
      <c r="L36" s="50">
        <f>IF(AND(H36&gt;=Year_Open_to_Traffic?, Calculations!H36&lt;Year_Open_to_Traffic?+'Inputs &amp; Outputs'!B$21), 1, 0)</f>
        <v>0</v>
      </c>
      <c r="M36" s="65">
        <f t="shared" si="11"/>
        <v>3.4800910162731125E-3</v>
      </c>
      <c r="N36" s="71">
        <f t="shared" si="12"/>
        <v>0.70027060492341553</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100314.62502837683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2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2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5">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73</v>
      </c>
      <c r="C6" s="81">
        <v>0.3</v>
      </c>
      <c r="D6" s="74">
        <v>0.2</v>
      </c>
      <c r="E6" s="74">
        <v>0.1</v>
      </c>
      <c r="F6" s="74">
        <v>0.3</v>
      </c>
      <c r="G6" s="91">
        <v>0.2</v>
      </c>
      <c r="H6" s="93"/>
      <c r="L6" s="44" t="s">
        <v>158</v>
      </c>
      <c r="N6" s="44" t="s">
        <v>55</v>
      </c>
    </row>
    <row r="7" spans="2:14">
      <c r="B7" s="73" t="s">
        <v>159</v>
      </c>
      <c r="C7" s="81">
        <v>0.3</v>
      </c>
      <c r="D7" s="74">
        <v>0.2</v>
      </c>
      <c r="E7" s="74">
        <v>0.15</v>
      </c>
      <c r="F7" s="74">
        <v>0.3</v>
      </c>
      <c r="G7" s="91">
        <v>0.25</v>
      </c>
      <c r="H7" s="93"/>
      <c r="L7" s="44" t="s">
        <v>52</v>
      </c>
    </row>
    <row r="8" spans="2:14">
      <c r="B8" s="73" t="s">
        <v>160</v>
      </c>
      <c r="C8" s="81">
        <v>0.2</v>
      </c>
      <c r="D8" s="74">
        <v>0.02</v>
      </c>
      <c r="E8" s="74">
        <v>0.02</v>
      </c>
      <c r="F8" s="74">
        <v>0.2</v>
      </c>
      <c r="G8" s="91">
        <v>0.15</v>
      </c>
      <c r="H8" s="93"/>
      <c r="L8" s="44" t="s">
        <v>161</v>
      </c>
    </row>
    <row r="9" spans="2:14">
      <c r="B9" s="73" t="s">
        <v>162</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055D16-E42E-4E02-ADB3-DBFE49BF3ABF}"/>
</file>

<file path=customXml/itemProps2.xml><?xml version="1.0" encoding="utf-8"?>
<ds:datastoreItem xmlns:ds="http://schemas.openxmlformats.org/officeDocument/2006/customXml" ds:itemID="{0CE918AD-1F0F-4845-9CDF-91A9BC965A1D}"/>
</file>

<file path=customXml/itemProps3.xml><?xml version="1.0" encoding="utf-8"?>
<ds:datastoreItem xmlns:ds="http://schemas.openxmlformats.org/officeDocument/2006/customXml" ds:itemID="{0283BA95-858A-4DFC-BE12-3F7F9340A50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2018-10-29T19:53:19Z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