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63" documentId="8_{9DDA474E-1B00-4C01-8E7F-0FC447994EE2}" xr6:coauthVersionLast="40" xr6:coauthVersionMax="40" xr10:uidLastSave="{59043F85-8C22-463C-ADAA-28A23F1F3BA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H21" i="7"/>
  <c r="I21" i="7"/>
  <c r="J21" i="7"/>
  <c r="G22" i="7"/>
  <c r="I29" i="5"/>
  <c r="B13" i="5"/>
  <c r="S23" i="12"/>
  <c r="P24" i="12"/>
  <c r="Q23" i="12"/>
  <c r="T4" i="12"/>
  <c r="U4" i="12"/>
  <c r="G23" i="7"/>
  <c r="H22" i="7"/>
  <c r="I22" i="7"/>
  <c r="J22" i="7"/>
  <c r="S24" i="12"/>
  <c r="P25" i="12"/>
  <c r="Q24" i="12"/>
  <c r="T5" i="12"/>
  <c r="U5" i="12"/>
  <c r="G24" i="7"/>
  <c r="H23" i="7"/>
  <c r="I23" i="7"/>
  <c r="J23" i="7"/>
  <c r="S25" i="12"/>
  <c r="P26" i="12"/>
  <c r="Q25" i="12"/>
  <c r="T6" i="12"/>
  <c r="U6" i="12"/>
  <c r="H24" i="7"/>
  <c r="I24" i="7"/>
  <c r="J24" i="7"/>
  <c r="G25" i="7"/>
  <c r="S26" i="12"/>
  <c r="P27" i="12"/>
  <c r="Q26" i="12"/>
  <c r="T7" i="12"/>
  <c r="U7" i="12"/>
  <c r="H25" i="7"/>
  <c r="I25" i="7"/>
  <c r="J25" i="7"/>
  <c r="G26" i="7"/>
  <c r="S27" i="12"/>
  <c r="P28" i="12"/>
  <c r="Q27" i="12"/>
  <c r="T8" i="12"/>
  <c r="U8" i="12"/>
  <c r="G27" i="7"/>
  <c r="H26" i="7"/>
  <c r="I26" i="7"/>
  <c r="J26" i="7"/>
  <c r="S28" i="12"/>
  <c r="P29" i="12"/>
  <c r="Q28" i="12"/>
  <c r="G28" i="7"/>
  <c r="H27" i="7"/>
  <c r="I27" i="7"/>
  <c r="J27" i="7"/>
  <c r="Q29" i="12"/>
  <c r="P30" i="12"/>
  <c r="Q30" i="12"/>
  <c r="S29" i="12"/>
  <c r="H28" i="7"/>
  <c r="I28" i="7"/>
  <c r="J28" i="7"/>
  <c r="G29" i="7"/>
  <c r="P31" i="12"/>
  <c r="Q31" i="12"/>
  <c r="S30" i="12"/>
  <c r="H29" i="7"/>
  <c r="I29" i="7"/>
  <c r="J29" i="7"/>
  <c r="B11" i="7"/>
  <c r="B12" i="7"/>
  <c r="S32" i="12"/>
  <c r="P32" i="12"/>
  <c r="Q32" i="12"/>
  <c r="S31" i="12"/>
  <c r="S33" i="12"/>
  <c r="P33" i="12"/>
  <c r="Q33" i="12"/>
  <c r="S34" i="12"/>
  <c r="P34" i="12"/>
  <c r="Q34" i="12"/>
  <c r="S35" i="12"/>
  <c r="P35" i="12"/>
  <c r="Q35" i="12"/>
  <c r="S36" i="12"/>
  <c r="P36" i="12"/>
  <c r="Q36" i="12"/>
  <c r="J5" i="12"/>
  <c r="R9" i="12"/>
  <c r="T9" i="12"/>
  <c r="U9" i="12"/>
  <c r="R10" i="12"/>
  <c r="T10" i="12"/>
  <c r="U10" i="12"/>
  <c r="R11" i="12"/>
  <c r="T11" i="12"/>
  <c r="U11" i="12"/>
  <c r="R12"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<sst xmlns="http://schemas.openxmlformats.org/spreadsheetml/2006/main" count="441" uniqueCount="286">
  <si>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</si>
  <si>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</si>
  <si>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</si>
  <si>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</si>
  <si>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</si>
  <si>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</si>
  <si>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</si>
  <si>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</si>
  <si>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</si>
  <si>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</si>
  <si>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</si>
  <si>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</si>
  <si>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</si>
  <si>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</si>
  <si>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</si>
  <si>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</si>
  <si>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</si>
  <si>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</si>
  <si>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</si>
  <si>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</si>
  <si>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</si>
  <si>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</si>
  <si>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</si>
  <si>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</si>
  <si>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</si>
  <si>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</si>
  <si>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</si>
  <si>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</si>
  <si>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</si>
  <si>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</si>
  <si>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</si>
  <si>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</si>
  <si>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</si>
  <si>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</si>
  <si>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</si>
  <si>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</si>
  <si>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</si>
  <si>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</si>
  <si>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</si>
  <si>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</si>
  <si>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</si>
  <si>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</si>
  <si>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</si>
  <si>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</si>
  <si>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</si>
  <si>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</si>
  <si>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</si>
  <si>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</si>
  <si>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1092 Access Management</t>
  </si>
  <si>
    <t>County</t>
  </si>
  <si>
    <t>Fort Bend</t>
  </si>
  <si>
    <t>Data entered by the sponsors</t>
  </si>
  <si>
    <t>Facility Type</t>
  </si>
  <si>
    <t>Non-Freeway</t>
  </si>
  <si>
    <t>HGAC regional travel demand model data provided by HGAC upon request</t>
  </si>
  <si>
    <t>Street Name:</t>
  </si>
  <si>
    <t>FM 1092</t>
  </si>
  <si>
    <t>Populated based on selection in cell "C18"</t>
  </si>
  <si>
    <t>Limits (From)</t>
  </si>
  <si>
    <t>SH 6</t>
  </si>
  <si>
    <t>Benefits calculated by the template</t>
  </si>
  <si>
    <t>Limits (To)</t>
  </si>
  <si>
    <t>US 59</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</si>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</sst>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5.96</v>
      </c>
      <c r="D12" s="79"/>
      <c r="N12" s="133"/>
      <c r="O12" s="133"/>
      <c r="P12" s="133"/>
      <c r="Q12" s="133"/>
      <c r="R12" s="133"/>
      <c r="S12" s="133"/>
    </row>
    <row r="13" spans="2:19">
      <c r="B13" s="3" t="s">
        <v>64</v>
      </c>
      <c r="C13" s="97">
        <v>241</v>
      </c>
      <c r="D13" s="53"/>
    </row>
    <row r="14" spans="2:19">
      <c r="B14" s="3" t="s">
        <v>65</v>
      </c>
      <c r="C14" s="97" t="s">
        <v>66</v>
      </c>
      <c r="D14" s="53"/>
      <c r="G14" s="90"/>
    </row>
    <row r="15" spans="2:19">
      <c r="C15" s="53"/>
      <c r="D15" s="53"/>
    </row>
    <row r="16" spans="2:19">
      <c r="B16" s="5" t="s">
        <v>67</v>
      </c>
    </row>
    <row r="17" spans="2:13">
      <c r="B17" s="3" t="s">
        <v>68</v>
      </c>
      <c r="C17" s="97">
        <v>2023</v>
      </c>
      <c r="D17" s="80"/>
    </row>
    <row r="18" spans="2:13">
      <c r="B18" s="3" t="s">
        <v>69</v>
      </c>
      <c r="C18" s="98" t="s">
        <v>70</v>
      </c>
    </row>
    <row r="19" spans="2:13">
      <c r="B19" s="99" t="s">
        <v>71</v>
      </c>
      <c r="C19" s="128">
        <f>VLOOKUP(C18,'CRF Lookup Table'!C3:F84,2, FALSE)</f>
        <v>203</v>
      </c>
      <c r="D19" s="81"/>
    </row>
    <row r="20" spans="2:13">
      <c r="B20" s="99" t="s">
        <v>72</v>
      </c>
      <c r="C20" s="129">
        <f>VLOOKUP(C18,'CRF Lookup Table'!C3:F84,3, FALSE)</f>
        <v>0.4</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97">
        <v>37404</v>
      </c>
      <c r="D25" s="82"/>
      <c r="I25" s="41"/>
    </row>
    <row r="26" spans="2:13">
      <c r="I26" s="41"/>
    </row>
    <row r="27" spans="2:13">
      <c r="B27" s="73" t="s">
        <v>76</v>
      </c>
      <c r="C27" s="74">
        <v>17799</v>
      </c>
      <c r="D27" s="82"/>
      <c r="I27" s="41"/>
    </row>
    <row r="28" spans="2:13">
      <c r="B28" s="73" t="s">
        <v>77</v>
      </c>
      <c r="C28" s="74">
        <v>26558</v>
      </c>
      <c r="D28" s="82"/>
      <c r="I28" s="41"/>
    </row>
    <row r="29" spans="2:13">
      <c r="B29" s="73" t="s">
        <v>78</v>
      </c>
      <c r="C29" s="75">
        <v>21028</v>
      </c>
      <c r="D29" s="58"/>
      <c r="I29" s="41"/>
    </row>
    <row r="30" spans="2:13">
      <c r="B30" s="73" t="s">
        <v>79</v>
      </c>
      <c r="C30" s="75">
        <v>32753</v>
      </c>
      <c r="D30" s="58"/>
      <c r="I30" s="41"/>
    </row>
    <row r="31" spans="2:13">
      <c r="B31" s="73" t="s">
        <v>80</v>
      </c>
      <c r="C31" s="74">
        <v>22541</v>
      </c>
      <c r="D31" s="82"/>
      <c r="H31" s="59"/>
    </row>
    <row r="32" spans="2:13">
      <c r="B32" s="73" t="s">
        <v>81</v>
      </c>
      <c r="C32" s="74">
        <v>32753</v>
      </c>
      <c r="D32" s="82"/>
    </row>
    <row r="34" spans="2:9" ht="18.75">
      <c r="B34" s="43" t="s">
        <v>82</v>
      </c>
      <c r="C34" s="44"/>
      <c r="D34" s="44"/>
      <c r="E34" s="44"/>
      <c r="F34" s="44"/>
      <c r="I34" s="59"/>
    </row>
    <row r="36" spans="2:9">
      <c r="B36" s="9" t="s">
        <v>83</v>
      </c>
    </row>
    <row r="37" spans="2:9">
      <c r="B37" s="8" t="s">
        <v>84</v>
      </c>
      <c r="C37" s="34">
        <f>Calculations!U37</f>
        <v>64328.355824712969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42134.129286242853</v>
      </c>
      <c r="G4" s="136" t="s">
        <v>95</v>
      </c>
      <c r="H4" s="136"/>
      <c r="I4" s="136"/>
      <c r="J4" s="136"/>
      <c r="L4" s="106"/>
      <c r="M4" s="107">
        <v>2018</v>
      </c>
      <c r="N4" s="108">
        <f>_2018_Volume_ADT</f>
        <v>37404</v>
      </c>
      <c r="O4" s="109" t="s">
        <v>96</v>
      </c>
      <c r="P4" s="110">
        <f>MIN(B12,1)</f>
        <v>0.67019353867008058</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251119.41054600739</v>
      </c>
      <c r="G5" s="137" t="s">
        <v>99</v>
      </c>
      <c r="H5" s="137"/>
      <c r="I5" s="137"/>
      <c r="J5" s="111">
        <f>SUMPRODUCT(Possible_Crash_Reductions,'Value of Statistical Life'!E5:E11)</f>
        <v>7486680.0053536873</v>
      </c>
      <c r="L5" s="106"/>
      <c r="M5" s="11">
        <f t="shared" ref="M5:M36" si="1">M4+1</f>
        <v>2019</v>
      </c>
      <c r="N5" s="112">
        <f>N4+(N4*O5)</f>
        <v>38305.509510470314</v>
      </c>
      <c r="O5" s="113">
        <f t="shared" ref="O5:O11" si="2">IF(ISERROR(_2025_2045_Demand_Growth),_2018_2045_Demand_Growth,_2018_2025_Demand_Growth)</f>
        <v>2.4101954616359667E-2</v>
      </c>
      <c r="P5" s="114">
        <f t="shared" ref="P5:P11" si="3">P4*(1+IFERROR(_2018_2025_V_C_Growth,_2018_2045_V_C_Growth))</f>
        <v>0.66609392340844864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65291046.741961919</v>
      </c>
      <c r="L6" s="106"/>
      <c r="M6" s="107">
        <f t="shared" si="1"/>
        <v>2020</v>
      </c>
      <c r="N6" s="112">
        <f t="shared" ref="N6:N36" si="6">N5+(N5*O6)</f>
        <v>39228.747162248204</v>
      </c>
      <c r="O6" s="113">
        <f t="shared" si="2"/>
        <v>2.4101954616359667E-2</v>
      </c>
      <c r="P6" s="114">
        <f t="shared" si="3"/>
        <v>0.6620193857465303</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40174.236646009362</v>
      </c>
      <c r="O7" s="113">
        <f t="shared" si="2"/>
        <v>2.4101954616359667E-2</v>
      </c>
      <c r="P7" s="114">
        <f t="shared" si="3"/>
        <v>0.65796977228309961</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41142.514274398374</v>
      </c>
      <c r="O8" s="113">
        <f t="shared" si="2"/>
        <v>2.4101954616359667E-2</v>
      </c>
      <c r="P8" s="114">
        <f t="shared" si="3"/>
        <v>0.65394493055529512</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2.4101954616359667E-2</v>
      </c>
      <c r="D9" s="39" t="s">
        <v>104</v>
      </c>
      <c r="E9" s="119">
        <f>IF('Inputs &amp; Outputs'!$C$8='CRASH RATES'!$D$3, VLOOKUP('Inputs &amp; Outputs'!$C$7,'CRASH RATES'!$C$14:$J$21,3,FALSE), VLOOKUP('Inputs &amp; Outputs'!$C$7,'CRASH RATES'!$C$28:$J$35,3,FALSE))</f>
        <v>0.99344502357157671</v>
      </c>
      <c r="F9" s="85"/>
      <c r="L9" s="106"/>
      <c r="M9" s="11">
        <f t="shared" si="1"/>
        <v>2023</v>
      </c>
      <c r="N9" s="112">
        <f t="shared" si="6"/>
        <v>42134.129286242853</v>
      </c>
      <c r="O9" s="113">
        <f t="shared" si="2"/>
        <v>2.4101954616359667E-2</v>
      </c>
      <c r="P9" s="114">
        <f t="shared" si="3"/>
        <v>0.64994470903288049</v>
      </c>
      <c r="Q9" s="115">
        <f t="shared" si="4"/>
        <v>1</v>
      </c>
      <c r="R9" s="30">
        <f>IF(M9=Year_Open_to_Traffic?,Calculations!$J$5,Calculations!R8+(Calculations!R8*Calculations!O9*Q9))</f>
        <v>7486680.0053536873</v>
      </c>
      <c r="S9" s="45">
        <f t="shared" si="0"/>
        <v>1</v>
      </c>
      <c r="T9" s="30">
        <f t="shared" si="5"/>
        <v>7486.6800053536872</v>
      </c>
      <c r="U9" s="31">
        <f>T9/(1+Real_Discount_Rate)^(Calculations!M9-'Assumed Values'!$C$5)</f>
        <v>5337.8993740338956</v>
      </c>
    </row>
    <row r="10" spans="1:21" ht="15.75">
      <c r="A10" s="39" t="s">
        <v>105</v>
      </c>
      <c r="B10" s="118">
        <f>(_2045_Peak_Period_Volume/_2025_Peak_Period_Volume)^(1/(2045-2025))-1</f>
        <v>3.4800910162731125E-3</v>
      </c>
      <c r="D10" s="39" t="s">
        <v>106</v>
      </c>
      <c r="E10" s="119">
        <f>IF('Inputs &amp; Outputs'!$C$8='CRASH RATES'!$D$3, VLOOKUP('Inputs &amp; Outputs'!$C$7,'CRASH RATES'!$C$14:$J$21,4,FALSE), VLOOKUP('Inputs &amp; Outputs'!$C$7,'CRASH RATES'!$C$28:$J$35,4,FALSE))</f>
        <v>5.5495894420205314</v>
      </c>
      <c r="F10" s="85"/>
      <c r="L10" s="106"/>
      <c r="M10" s="107">
        <f t="shared" si="1"/>
        <v>2024</v>
      </c>
      <c r="N10" s="112">
        <f t="shared" si="6"/>
        <v>43149.644158099705</v>
      </c>
      <c r="O10" s="113">
        <f t="shared" si="2"/>
        <v>2.4101954616359667E-2</v>
      </c>
      <c r="P10" s="114">
        <f t="shared" si="3"/>
        <v>0.64596895711253888</v>
      </c>
      <c r="Q10" s="115">
        <f t="shared" si="4"/>
        <v>1</v>
      </c>
      <c r="R10" s="30">
        <f>IF(M10=Year_Open_to_Traffic?,Calculations!$J$5,Calculations!R9+(Calculations!R9*Calculations!O10*Q10))</f>
        <v>7667123.6270699296</v>
      </c>
      <c r="S10" s="45">
        <f t="shared" si="0"/>
        <v>1</v>
      </c>
      <c r="T10" s="30">
        <f t="shared" si="5"/>
        <v>7667.1236270699292</v>
      </c>
      <c r="U10" s="31">
        <f>T10/(1+Real_Discount_Rate)^(Calculations!M10-'Assumed Values'!$C$5)</f>
        <v>5108.9282079379018</v>
      </c>
    </row>
    <row r="11" spans="1:21" ht="15.75">
      <c r="A11" s="39" t="s">
        <v>107</v>
      </c>
      <c r="B11" s="118">
        <f>(_2045_Peak_Period_Volume/'Inputs &amp; Outputs'!$C$27)^(1/(2045-2018))-1</f>
        <v>8.7862858010991918E-3</v>
      </c>
      <c r="D11" s="39" t="s">
        <v>108</v>
      </c>
      <c r="E11" s="119">
        <f>IF('Inputs &amp; Outputs'!$C$8='CRASH RATES'!$D$3, VLOOKUP('Inputs &amp; Outputs'!$C$7,'CRASH RATES'!$C$14:$J$21,5,FALSE), VLOOKUP('Inputs &amp; Outputs'!$C$7,'CRASH RATES'!$C$28:$J$35,5,FALSE))</f>
        <v>33.605847176679887</v>
      </c>
      <c r="F11" s="85"/>
      <c r="L11" s="106"/>
      <c r="M11" s="11">
        <f t="shared" si="1"/>
        <v>2025</v>
      </c>
      <c r="N11" s="112">
        <f t="shared" si="6"/>
        <v>44189.634923310296</v>
      </c>
      <c r="O11" s="113">
        <f t="shared" si="2"/>
        <v>2.4101954616359667E-2</v>
      </c>
      <c r="P11" s="114">
        <f t="shared" si="3"/>
        <v>0.64201752511220345</v>
      </c>
      <c r="Q11" s="115">
        <f t="shared" si="4"/>
        <v>1</v>
      </c>
      <c r="R11" s="30">
        <f>IF(M11=Year_Open_to_Traffic?,Calculations!$J$5,Calculations!R10+(Calculations!R10*Calculations!O11*Q11))</f>
        <v>7851916.292767588</v>
      </c>
      <c r="S11" s="45">
        <f t="shared" si="0"/>
        <v>1</v>
      </c>
      <c r="T11" s="30">
        <f t="shared" si="5"/>
        <v>7851.9162927675879</v>
      </c>
      <c r="U11" s="31">
        <f>T11/(1+Real_Discount_Rate)^(Calculations!M11-'Assumed Values'!$C$5)</f>
        <v>4889.7788446204313</v>
      </c>
    </row>
    <row r="12" spans="1:21" ht="15.75">
      <c r="A12" s="39" t="s">
        <v>109</v>
      </c>
      <c r="B12" s="120">
        <f>'Inputs &amp; Outputs'!C27/_2018_Peak_Period_Capacity</f>
        <v>0.67019353867008058</v>
      </c>
      <c r="D12" s="39" t="s">
        <v>110</v>
      </c>
      <c r="E12" s="119">
        <f>IF('Inputs &amp; Outputs'!$C$8='CRASH RATES'!$D$3, VLOOKUP('Inputs &amp; Outputs'!$C$7,'CRASH RATES'!$C$14:$J$21,6,FALSE), VLOOKUP('Inputs &amp; Outputs'!$C$7,'CRASH RATES'!$C$28:$J$35,6,FALSE))</f>
        <v>63.237914259073463</v>
      </c>
      <c r="F12" s="85"/>
      <c r="L12" s="106"/>
      <c r="M12" s="107">
        <f t="shared" si="1"/>
        <v>2026</v>
      </c>
      <c r="N12" s="112">
        <f t="shared" si="6"/>
        <v>44343.418874819297</v>
      </c>
      <c r="O12" s="113">
        <f t="shared" ref="O12:O36" si="7">IFERROR(_2025_2045_Demand_Growth,_2018_2045_Demand_Growth)</f>
        <v>3.4800910162731125E-3</v>
      </c>
      <c r="P12" s="114">
        <f t="shared" ref="P12:P36" si="8">P11*(1+IFERROR(_2025_2040_V_C_Growth,_2018_2045_V_C_Growth))</f>
        <v>0.64425180453363629</v>
      </c>
      <c r="Q12" s="115">
        <f t="shared" si="4"/>
        <v>1</v>
      </c>
      <c r="R12" s="30">
        <f>IF(M12=Year_Open_to_Traffic?,Calculations!$J$5,Calculations!R11+(Calculations!R11*Calculations!O12*Q12))</f>
        <v>7879241.6761185769</v>
      </c>
      <c r="S12" s="45">
        <f t="shared" si="0"/>
        <v>1</v>
      </c>
      <c r="T12" s="30">
        <f t="shared" si="5"/>
        <v>7879.2416761185768</v>
      </c>
      <c r="U12" s="31">
        <f>T12/(1+Real_Discount_Rate)^(Calculations!M12-'Assumed Values'!$C$5)</f>
        <v>4585.7903925693054</v>
      </c>
    </row>
    <row r="13" spans="1:21" ht="15.75">
      <c r="A13" s="39" t="s">
        <v>111</v>
      </c>
      <c r="B13" s="120">
        <f>_2025_Peak_Period_Volume/_2025_Peak_Period_Capacity</f>
        <v>0.64201752511220345</v>
      </c>
      <c r="D13" s="39" t="s">
        <v>112</v>
      </c>
      <c r="E13" s="119">
        <f>IF('Inputs &amp; Outputs'!$C$8='CRASH RATES'!$D$3, VLOOKUP('Inputs &amp; Outputs'!$C$7,'CRASH RATES'!$C$14:$J$21,7,FALSE), VLOOKUP('Inputs &amp; Outputs'!$C$7,'CRASH RATES'!$C$28:$J$35,7,FALSE))</f>
        <v>637.62042150819855</v>
      </c>
      <c r="F13" s="85"/>
      <c r="L13" s="106"/>
      <c r="M13" s="11">
        <f t="shared" si="1"/>
        <v>2027</v>
      </c>
      <c r="N13" s="112">
        <f t="shared" si="6"/>
        <v>44497.738008476394</v>
      </c>
      <c r="O13" s="113">
        <f t="shared" si="7"/>
        <v>3.4800910162731125E-3</v>
      </c>
      <c r="P13" s="114">
        <f t="shared" si="8"/>
        <v>0.6464938594508115</v>
      </c>
      <c r="Q13" s="115">
        <f t="shared" si="4"/>
        <v>1</v>
      </c>
      <c r="R13" s="30">
        <f>IF(M13=Year_Open_to_Traffic?,Calculations!$J$5,Calculations!R12+(Calculations!R12*Calculations!O13*Q13))</f>
        <v>7906662.1542906817</v>
      </c>
      <c r="S13" s="45">
        <f t="shared" si="0"/>
        <v>1</v>
      </c>
      <c r="T13" s="30">
        <f t="shared" si="5"/>
        <v>7906.6621542906814</v>
      </c>
      <c r="U13" s="31">
        <f>T13/(1+Real_Discount_Rate)^(Calculations!M13-'Assumed Values'!$C$5)</f>
        <v>4300.7003369317727</v>
      </c>
    </row>
    <row r="14" spans="1:21" ht="15.75">
      <c r="A14" s="39" t="s">
        <v>113</v>
      </c>
      <c r="B14" s="120">
        <f>_2045_Peak_Period_Volume/_2045_Peak_Period_Capacity</f>
        <v>0.6882117668610509</v>
      </c>
      <c r="D14" s="39" t="s">
        <v>114</v>
      </c>
      <c r="E14" s="119">
        <f>IF('Inputs &amp; Outputs'!$C$8='CRASH RATES'!$D$3, VLOOKUP('Inputs &amp; Outputs'!$C$7,'CRASH RATES'!$C$14:$J$21,8,FALSE), VLOOKUP('Inputs &amp; Outputs'!$C$7,'CRASH RATES'!$C$28:$J$35,8,FALSE))</f>
        <v>27.199839610890752</v>
      </c>
      <c r="F14" s="85"/>
      <c r="L14" s="106"/>
      <c r="M14" s="107">
        <f>M13+1</f>
        <v>2028</v>
      </c>
      <c r="N14" s="112">
        <f t="shared" si="6"/>
        <v>44652.594186764167</v>
      </c>
      <c r="O14" s="113">
        <f t="shared" si="7"/>
        <v>3.4800910162731125E-3</v>
      </c>
      <c r="P14" s="114">
        <f>P13*(1+IFERROR(_2025_2040_V_C_Growth,_2018_2045_V_C_Growth))</f>
        <v>0.64874371692316202</v>
      </c>
      <c r="Q14" s="115">
        <f t="shared" si="4"/>
        <v>1</v>
      </c>
      <c r="R14" s="30">
        <f>IF(M14=Year_Open_to_Traffic?,Calculations!$J$5,Calculations!R13+(Calculations!R13*Calculations!O14*Q14))</f>
        <v>7934178.0582225351</v>
      </c>
      <c r="S14" s="45">
        <f t="shared" si="0"/>
        <v>1</v>
      </c>
      <c r="T14" s="30">
        <f t="shared" si="5"/>
        <v>7934.1780582225347</v>
      </c>
      <c r="U14" s="31">
        <f>T14/(1+Real_Discount_Rate)^(Calculations!M14-'Assumed Values'!$C$5)</f>
        <v>4033.3337995682355</v>
      </c>
    </row>
    <row r="15" spans="1:21" ht="15.75">
      <c r="A15" s="39" t="s">
        <v>115</v>
      </c>
      <c r="B15" s="118">
        <f>(B13/B12)^(1/(2025-2018))-1</f>
        <v>-6.1170617516950188E-3</v>
      </c>
      <c r="L15" s="106"/>
      <c r="M15" s="11">
        <f>M14+1</f>
        <v>2029</v>
      </c>
      <c r="N15" s="112">
        <f t="shared" si="6"/>
        <v>44807.989278646812</v>
      </c>
      <c r="O15" s="113">
        <f t="shared" si="7"/>
        <v>3.4800910162731125E-3</v>
      </c>
      <c r="P15" s="114">
        <f>P14*(1+IFERROR(_2025_2040_V_C_Growth,_2018_2045_V_C_Growth))</f>
        <v>0.65100140410428997</v>
      </c>
      <c r="Q15" s="115">
        <f t="shared" si="4"/>
        <v>1</v>
      </c>
      <c r="R15" s="30">
        <f>IF(M15=Year_Open_to_Traffic?,Calculations!$J$5,Calculations!R14+(Calculations!R14*Calculations!O15*Q15))</f>
        <v>7961789.7200044664</v>
      </c>
      <c r="S15" s="45">
        <f t="shared" si="0"/>
        <v>1</v>
      </c>
      <c r="T15" s="30">
        <f t="shared" si="5"/>
        <v>7961.7897200044663</v>
      </c>
      <c r="U15" s="31">
        <f>T15/(1+Real_Discount_Rate)^(Calculations!M15-'Assumed Values'!$C$5)</f>
        <v>3782.5889423268627</v>
      </c>
    </row>
    <row r="16" spans="1:21" ht="15.75">
      <c r="A16" s="39" t="s">
        <v>116</v>
      </c>
      <c r="B16" s="118">
        <f>(B14/B13)^(1/(2045-2025))-1</f>
        <v>3.4800910162731125E-3</v>
      </c>
      <c r="D16" s="121" t="s">
        <v>117</v>
      </c>
      <c r="E16" s="57"/>
      <c r="L16" s="106"/>
      <c r="M16" s="107">
        <f t="shared" si="1"/>
        <v>2030</v>
      </c>
      <c r="N16" s="112">
        <f t="shared" si="6"/>
        <v>44963.925159592691</v>
      </c>
      <c r="O16" s="113">
        <f t="shared" si="7"/>
        <v>3.4800910162731125E-3</v>
      </c>
      <c r="P16" s="114">
        <f t="shared" si="8"/>
        <v>0.65326694824229448</v>
      </c>
      <c r="Q16" s="115">
        <f t="shared" si="4"/>
        <v>1</v>
      </c>
      <c r="R16" s="30">
        <f>IF(M16=Year_Open_to_Traffic?,Calculations!$J$5,Calculations!R15+(Calculations!R15*Calculations!O16*Q16))</f>
        <v>7989497.4728825092</v>
      </c>
      <c r="S16" s="45">
        <f t="shared" si="0"/>
        <v>1</v>
      </c>
      <c r="T16" s="30">
        <f t="shared" si="5"/>
        <v>7989.4974728825091</v>
      </c>
      <c r="U16" s="31">
        <f>T16/(1+Real_Discount_Rate)^(Calculations!M16-'Assumed Values'!$C$5)</f>
        <v>3547.4324262834662</v>
      </c>
    </row>
    <row r="17" spans="1:21" ht="15.75">
      <c r="A17" s="39" t="s">
        <v>118</v>
      </c>
      <c r="B17" s="118">
        <f>(B14/B12)^(1/(2045-2018))-1</f>
        <v>9.8307760373073094E-4</v>
      </c>
      <c r="D17" s="39" t="s">
        <v>119</v>
      </c>
      <c r="E17" s="122">
        <f>($E$6*Death_Rate)/100000000</f>
        <v>0.64863065469581271</v>
      </c>
      <c r="L17" s="106"/>
      <c r="M17" s="11">
        <f t="shared" si="1"/>
        <v>2031</v>
      </c>
      <c r="N17" s="112">
        <f t="shared" si="6"/>
        <v>45120.403711596962</v>
      </c>
      <c r="O17" s="113">
        <f t="shared" si="7"/>
        <v>3.4800910162731125E-3</v>
      </c>
      <c r="P17" s="114">
        <f t="shared" si="8"/>
        <v>0.65554037668010068</v>
      </c>
      <c r="Q17" s="115">
        <f t="shared" si="4"/>
        <v>1</v>
      </c>
      <c r="R17" s="30">
        <f>IF(M17=Year_Open_to_Traffic?,Calculations!$J$5,Calculations!R16+(Calculations!R16*Calculations!O17*Q17))</f>
        <v>8017301.651262424</v>
      </c>
      <c r="S17" s="45">
        <f t="shared" si="0"/>
        <v>1</v>
      </c>
      <c r="T17" s="30">
        <f t="shared" si="5"/>
        <v>8017.3016512624235</v>
      </c>
      <c r="U17" s="31">
        <f>T17/(1+Real_Discount_Rate)^(Calculations!M17-'Assumed Values'!$C$5)</f>
        <v>3326.8951532719725</v>
      </c>
    </row>
    <row r="18" spans="1:21" ht="15.75">
      <c r="D18" s="39" t="s">
        <v>120</v>
      </c>
      <c r="E18" s="122">
        <f>($E$6*Incap_Injry_Rate)/100000000</f>
        <v>3.6233850365766092</v>
      </c>
      <c r="L18" s="106"/>
      <c r="M18" s="107">
        <f t="shared" si="1"/>
        <v>2032</v>
      </c>
      <c r="N18" s="112">
        <f t="shared" si="6"/>
        <v>45277.426823204303</v>
      </c>
      <c r="O18" s="113">
        <f t="shared" si="7"/>
        <v>3.4800910162731125E-3</v>
      </c>
      <c r="P18" s="114">
        <f t="shared" si="8"/>
        <v>0.65782171685578938</v>
      </c>
      <c r="Q18" s="115">
        <f t="shared" si="4"/>
        <v>1</v>
      </c>
      <c r="R18" s="30">
        <f>IF(M18=Year_Open_to_Traffic?,Calculations!$J$5,Calculations!R17+(Calculations!R17*Calculations!O18*Q18))</f>
        <v>8045202.5907137338</v>
      </c>
      <c r="S18" s="45">
        <f t="shared" si="0"/>
        <v>1</v>
      </c>
      <c r="T18" s="30">
        <f t="shared" si="5"/>
        <v>8045.202590713734</v>
      </c>
      <c r="U18" s="31">
        <f>T18/(1+Real_Discount_Rate)^(Calculations!M18-'Assumed Values'!$C$5)</f>
        <v>3120.0682721560347</v>
      </c>
    </row>
    <row r="19" spans="1:21" ht="15.75">
      <c r="D19" s="39" t="s">
        <v>121</v>
      </c>
      <c r="E19" s="122">
        <f>($E$6*Nonincap_Injry_Rate)/100000000</f>
        <v>21.941609388158355</v>
      </c>
      <c r="L19" s="106"/>
      <c r="M19" s="11">
        <f t="shared" si="1"/>
        <v>2033</v>
      </c>
      <c r="N19" s="112">
        <f t="shared" si="6"/>
        <v>45434.996389531698</v>
      </c>
      <c r="O19" s="113">
        <f t="shared" si="7"/>
        <v>3.4800910162731125E-3</v>
      </c>
      <c r="P19" s="114">
        <f t="shared" si="8"/>
        <v>0.66011099630292858</v>
      </c>
      <c r="Q19" s="115">
        <f t="shared" si="4"/>
        <v>1</v>
      </c>
      <c r="R19" s="30">
        <f>IF(M19=Year_Open_to_Traffic?,Calculations!$J$5,Calculations!R18+(Calculations!R18*Calculations!O19*Q19))</f>
        <v>8073200.6279737735</v>
      </c>
      <c r="S19" s="45">
        <f t="shared" si="0"/>
        <v>1</v>
      </c>
      <c r="T19" s="30">
        <f t="shared" si="5"/>
        <v>8073.2006279737734</v>
      </c>
      <c r="U19" s="31">
        <f>T19/(1+Real_Discount_Rate)^(Calculations!M19-'Assumed Values'!$C$5)</f>
        <v>2926.0994333832928</v>
      </c>
    </row>
    <row r="20" spans="1:21" ht="15.75">
      <c r="D20" s="39" t="s">
        <v>122</v>
      </c>
      <c r="E20" s="122">
        <f>($E$6*Poss_Injry_Rate/100000000)</f>
        <v>41.288696157533458</v>
      </c>
      <c r="L20" s="106"/>
      <c r="M20" s="107">
        <f t="shared" si="1"/>
        <v>2034</v>
      </c>
      <c r="N20" s="112">
        <f t="shared" si="6"/>
        <v>45593.114312291305</v>
      </c>
      <c r="O20" s="113">
        <f t="shared" si="7"/>
        <v>3.4800910162731125E-3</v>
      </c>
      <c r="P20" s="114">
        <f t="shared" si="8"/>
        <v>0.66240824265090548</v>
      </c>
      <c r="Q20" s="115">
        <f t="shared" si="4"/>
        <v>1</v>
      </c>
      <c r="R20" s="30">
        <f>IF(M20=Year_Open_to_Traffic?,Calculations!$J$5,Calculations!R19+(Calculations!R19*Calculations!O20*Q20))</f>
        <v>8101296.1009517554</v>
      </c>
      <c r="S20" s="45">
        <f t="shared" si="0"/>
        <v>1</v>
      </c>
      <c r="T20" s="30">
        <f t="shared" si="5"/>
        <v>8101.2961009517558</v>
      </c>
      <c r="U20" s="31">
        <f>T20/(1+Real_Discount_Rate)^(Calculations!M20-'Assumed Values'!$C$5)</f>
        <v>2744.1892763870396</v>
      </c>
    </row>
    <row r="21" spans="1:21" ht="15.75">
      <c r="D21" s="39" t="s">
        <v>123</v>
      </c>
      <c r="E21" s="122">
        <f>($E$6*Non_Injry_Rate)/100000000</f>
        <v>416.30904744321253</v>
      </c>
      <c r="L21" s="106"/>
      <c r="M21" s="11">
        <f>M20+1</f>
        <v>2035</v>
      </c>
      <c r="N21" s="112">
        <f t="shared" si="6"/>
        <v>45751.782499813424</v>
      </c>
      <c r="O21" s="113">
        <f t="shared" si="7"/>
        <v>3.4800910162731125E-3</v>
      </c>
      <c r="P21" s="114">
        <f>P20*(1+IFERROR(_2025_2040_V_C_Growth,_2018_2045_V_C_Growth))</f>
        <v>0.66471348362526017</v>
      </c>
      <c r="Q21" s="115">
        <f t="shared" si="4"/>
        <v>1</v>
      </c>
      <c r="R21" s="30">
        <f>IF(M21=Year_Open_to_Traffic?,Calculations!$J$5,Calculations!R20+(Calculations!R20*Calculations!O21*Q21))</f>
        <v>8129489.3487328459</v>
      </c>
      <c r="S21" s="45">
        <f t="shared" si="0"/>
        <v>1</v>
      </c>
      <c r="T21" s="30">
        <f t="shared" si="5"/>
        <v>8129.4893487328454</v>
      </c>
      <c r="U21" s="31">
        <f>T21/(1+Real_Discount_Rate)^(Calculations!M21-'Assumed Values'!$C$5)</f>
        <v>2573.5881353595764</v>
      </c>
    </row>
    <row r="22" spans="1:21" ht="15.75">
      <c r="D22" s="39" t="s">
        <v>124</v>
      </c>
      <c r="E22" s="122">
        <f>($E$6*Unkn_Injry_Rate)/100000000</f>
        <v>17.759059994085355</v>
      </c>
      <c r="L22" s="106"/>
      <c r="M22" s="107">
        <f>M21+1</f>
        <v>2036</v>
      </c>
      <c r="N22" s="112">
        <f t="shared" si="6"/>
        <v>45911.002867069503</v>
      </c>
      <c r="O22" s="113">
        <f t="shared" si="7"/>
        <v>3.4800910162731125E-3</v>
      </c>
      <c r="P22" s="114">
        <f t="shared" si="8"/>
        <v>0.66702674704802001</v>
      </c>
      <c r="Q22" s="115">
        <f t="shared" si="4"/>
        <v>1</v>
      </c>
      <c r="R22" s="30">
        <f>IF(M22=Year_Open_to_Traffic?,Calculations!$J$5,Calculations!R21+(Calculations!R21*Calculations!O22*Q22))</f>
        <v>8157780.7115822593</v>
      </c>
      <c r="S22" s="45">
        <f t="shared" si="0"/>
        <v>1</v>
      </c>
      <c r="T22" s="30">
        <f t="shared" si="5"/>
        <v>8157.7807115822588</v>
      </c>
      <c r="U22" s="31">
        <f>T22/(1+Real_Discount_Rate)^(Calculations!M22-'Assumed Values'!$C$5)</f>
        <v>2413.5929498215219</v>
      </c>
    </row>
    <row r="23" spans="1:21" ht="15.75">
      <c r="L23" s="106"/>
      <c r="M23" s="11">
        <f t="shared" si="1"/>
        <v>2037</v>
      </c>
      <c r="N23" s="112">
        <f t="shared" si="6"/>
        <v>46070.777335695282</v>
      </c>
      <c r="O23" s="113">
        <f t="shared" si="7"/>
        <v>3.4800910162731125E-3</v>
      </c>
      <c r="P23" s="114">
        <f t="shared" si="8"/>
        <v>0.66934806083803566</v>
      </c>
      <c r="Q23" s="115">
        <f t="shared" si="4"/>
        <v>1</v>
      </c>
      <c r="R23" s="30">
        <f>IF(M23=Year_Open_to_Traffic?,Calculations!$J$5,Calculations!R22+(Calculations!R22*Calculations!O23*Q23))</f>
        <v>8186170.5309493626</v>
      </c>
      <c r="S23" s="45">
        <f t="shared" si="0"/>
        <v>1</v>
      </c>
      <c r="T23" s="30">
        <f t="shared" si="5"/>
        <v>8186.1705309493627</v>
      </c>
      <c r="U23" s="31">
        <f>T23/(1+Real_Discount_Rate)^(Calculations!M23-'Assumed Values'!$C$5)</f>
        <v>2263.5443672552669</v>
      </c>
    </row>
    <row r="24" spans="1:21" ht="15.75">
      <c r="L24" s="106"/>
      <c r="M24" s="107">
        <f t="shared" si="1"/>
        <v>2038</v>
      </c>
      <c r="N24" s="112">
        <f t="shared" si="6"/>
        <v>46231.107834013957</v>
      </c>
      <c r="O24" s="113">
        <f t="shared" si="7"/>
        <v>3.4800910162731125E-3</v>
      </c>
      <c r="P24" s="114">
        <f t="shared" si="8"/>
        <v>0.67167745301131798</v>
      </c>
      <c r="Q24" s="115">
        <f t="shared" si="4"/>
        <v>1</v>
      </c>
      <c r="R24" s="30">
        <f>IF(M24=Year_Open_to_Traffic?,Calculations!$J$5,Calculations!R23+(Calculations!R23*Calculations!O24*Q24))</f>
        <v>8214659.1494717989</v>
      </c>
      <c r="S24" s="45">
        <f t="shared" si="0"/>
        <v>1</v>
      </c>
      <c r="T24" s="30">
        <f t="shared" si="5"/>
        <v>8214.6591494717995</v>
      </c>
      <c r="U24" s="31">
        <f>T24/(1+Real_Discount_Rate)^(Calculations!M24-'Assumed Values'!$C$5)</f>
        <v>2122.824025862325</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46391.996297059464</v>
      </c>
      <c r="O25" s="113">
        <f t="shared" si="7"/>
        <v>3.4800910162731125E-3</v>
      </c>
      <c r="P25" s="114">
        <f t="shared" si="8"/>
        <v>0.67401495168137593</v>
      </c>
      <c r="Q25" s="115">
        <f t="shared" si="4"/>
        <v>1</v>
      </c>
      <c r="R25" s="30">
        <f>IF(M25=Year_Open_to_Traffic?,Calculations!$J$5,Calculations!R24+(Calculations!R24*Calculations!O25*Q25))</f>
        <v>8243246.9109796211</v>
      </c>
      <c r="S25" s="45">
        <f t="shared" si="0"/>
        <v>1</v>
      </c>
      <c r="T25" s="30">
        <f t="shared" si="5"/>
        <v>8243.2469109796202</v>
      </c>
      <c r="U25" s="31">
        <f>T25/(1+Real_Discount_Rate)^(Calculations!M25-'Assumed Values'!$C$5)</f>
        <v>1990.8520062465952</v>
      </c>
    </row>
    <row r="26" spans="1:21" ht="15.75">
      <c r="A26" s="134"/>
      <c r="B26" s="134"/>
      <c r="D26" s="123">
        <f>Calculations!E17</f>
        <v>0.64863065469581271</v>
      </c>
      <c r="E26" s="123">
        <f>Calculations!E18</f>
        <v>3.6233850365766092</v>
      </c>
      <c r="F26" s="123">
        <f>Calculations!E19</f>
        <v>21.941609388158355</v>
      </c>
      <c r="G26" s="123">
        <f>Calculations!E20</f>
        <v>41.288696157533458</v>
      </c>
      <c r="H26" s="123">
        <f>Calculations!E21</f>
        <v>416.30904744321253</v>
      </c>
      <c r="I26" s="123">
        <f>Calculations!E22</f>
        <v>17.759059994085355</v>
      </c>
      <c r="J26" s="135"/>
      <c r="L26" s="106"/>
      <c r="M26" s="107">
        <f t="shared" si="1"/>
        <v>2040</v>
      </c>
      <c r="N26" s="112">
        <f t="shared" si="6"/>
        <v>46553.444666599833</v>
      </c>
      <c r="O26" s="113">
        <f t="shared" si="7"/>
        <v>3.4800910162731125E-3</v>
      </c>
      <c r="P26" s="114">
        <f t="shared" si="8"/>
        <v>0.6763605850595561</v>
      </c>
      <c r="Q26" s="115">
        <f t="shared" si="4"/>
        <v>1</v>
      </c>
      <c r="R26" s="30">
        <f>IF(M26=Year_Open_to_Traffic?,Calculations!$J$5,Calculations!R25+(Calculations!R25*Calculations!O26*Q26))</f>
        <v>8271934.1604994424</v>
      </c>
      <c r="S26" s="45">
        <f t="shared" si="0"/>
        <v>1</v>
      </c>
      <c r="T26" s="30">
        <f t="shared" si="5"/>
        <v>8271.9341604994424</v>
      </c>
      <c r="U26" s="31">
        <f>T26/(1+Real_Discount_Rate)^(Calculations!M26-'Assumed Values'!$C$5)</f>
        <v>1867.0844415217416</v>
      </c>
    </row>
    <row r="27" spans="1:21" ht="15.75">
      <c r="A27" s="38" t="s">
        <v>127</v>
      </c>
      <c r="B27" s="39" t="s">
        <v>128</v>
      </c>
      <c r="D27" s="124">
        <f>D$26*'Value of Statistical Life'!D17*Appropriate_Crash_Reduction_Factor</f>
        <v>0</v>
      </c>
      <c r="E27" s="124">
        <f>E$26*'Value of Statistical Life'!E17*Appropriate_Crash_Reduction_Factor</f>
        <v>4.9814297482855222E-2</v>
      </c>
      <c r="F27" s="124">
        <f>F$26*'Value of Statistical Life'!F17*Appropriate_Crash_Reduction_Factor</f>
        <v>0.73258645425183122</v>
      </c>
      <c r="G27" s="124">
        <f>G$26*'Value of Statistical Life'!G17*Appropriate_Crash_Reduction_Factor</f>
        <v>3.8707326873764467</v>
      </c>
      <c r="H27" s="124">
        <f>H$26*'Value of Statistical Life'!H17*Appropriate_Crash_Reduction_Factor</f>
        <v>154.09096558444094</v>
      </c>
      <c r="I27" s="124">
        <f>I$26*'Value of Statistical Life'!I17*Appropriate_Crash_Reduction_Factor</f>
        <v>3.1025788172066879</v>
      </c>
      <c r="J27" s="124">
        <f t="shared" ref="J27:J33" si="9">SUM(D27:I27)</f>
        <v>161.84667784075876</v>
      </c>
      <c r="K27" s="69"/>
      <c r="L27" s="106"/>
      <c r="M27" s="11">
        <f t="shared" si="1"/>
        <v>2041</v>
      </c>
      <c r="N27" s="112">
        <f t="shared" si="6"/>
        <v>46715.454891160633</v>
      </c>
      <c r="O27" s="113">
        <f t="shared" si="7"/>
        <v>3.4800910162731125E-3</v>
      </c>
      <c r="P27" s="114">
        <f t="shared" si="8"/>
        <v>0.6787143814553831</v>
      </c>
      <c r="Q27" s="115">
        <f t="shared" si="4"/>
        <v>1</v>
      </c>
      <c r="R27" s="30">
        <f>IF(M27=Year_Open_to_Traffic?,Calculations!$J$5,Calculations!R26+(Calculations!R26*Calculations!O27*Q27))</f>
        <v>8300721.2442585994</v>
      </c>
      <c r="S27" s="45">
        <f t="shared" si="0"/>
        <v>1</v>
      </c>
      <c r="T27" s="30">
        <f t="shared" si="5"/>
        <v>8300.7212442585987</v>
      </c>
      <c r="U27" s="31">
        <f>T27/(1+Real_Discount_Rate)^(Calculations!M27-'Assumed Values'!$C$5)</f>
        <v>1751.0112759937426</v>
      </c>
    </row>
    <row r="28" spans="1:21" ht="15.75">
      <c r="A28" s="38" t="s">
        <v>129</v>
      </c>
      <c r="B28" s="39" t="s">
        <v>130</v>
      </c>
      <c r="D28" s="124">
        <f>D$26*'Value of Statistical Life'!D18*Appropriate_Crash_Reduction_Factor</f>
        <v>0</v>
      </c>
      <c r="E28" s="124">
        <f>E$26*'Value of Statistical Life'!E18*Appropriate_Crash_Reduction_Factor</f>
        <v>0.80365230757254569</v>
      </c>
      <c r="F28" s="124">
        <f>F$26*'Value of Statistical Life'!F18*Appropriate_Crash_Reduction_Factor</f>
        <v>6.7442363608570091</v>
      </c>
      <c r="G28" s="124">
        <f>G$26*'Value of Statistical Life'!G18*Appropriate_Crash_Reduction_Factor</f>
        <v>11.386761781109207</v>
      </c>
      <c r="H28" s="124">
        <f>H$26*'Value of Statistical Life'!H18*Appropriate_Crash_Reduction_Factor</f>
        <v>12.084619029181574</v>
      </c>
      <c r="I28" s="124">
        <f>I$26*'Value of Statistical Life'!I18*Appropriate_Crash_Reduction_Factor</f>
        <v>2.9649816203725146</v>
      </c>
      <c r="J28" s="124">
        <f t="shared" si="9"/>
        <v>33.984251099092852</v>
      </c>
      <c r="K28" s="69"/>
      <c r="L28" s="106"/>
      <c r="M28" s="107">
        <f t="shared" si="1"/>
        <v>2042</v>
      </c>
      <c r="N28" s="112">
        <f t="shared" si="6"/>
        <v>46878.028926048471</v>
      </c>
      <c r="O28" s="113">
        <f t="shared" si="7"/>
        <v>3.4800910162731125E-3</v>
      </c>
      <c r="P28" s="114">
        <f t="shared" si="8"/>
        <v>0.68107636927690129</v>
      </c>
      <c r="Q28" s="115">
        <f t="shared" si="4"/>
        <v>1</v>
      </c>
      <c r="R28" s="30">
        <f>IF(M28=Year_Open_to_Traffic?,Calculations!$J$5,Calculations!R27+(Calculations!R27*Calculations!O28*Q28))</f>
        <v>8329608.5096893311</v>
      </c>
      <c r="S28" s="45">
        <f t="shared" si="0"/>
        <v>1</v>
      </c>
      <c r="T28" s="30">
        <f t="shared" si="5"/>
        <v>8329.6085096893312</v>
      </c>
      <c r="U28" s="31">
        <f>T28/(1+Real_Discount_Rate)^(Calculations!M28-'Assumed Values'!$C$5)</f>
        <v>1642.1541631819825</v>
      </c>
    </row>
    <row r="29" spans="1:21" ht="15.75">
      <c r="A29" s="38" t="s">
        <v>131</v>
      </c>
      <c r="B29" s="39" t="s">
        <v>132</v>
      </c>
      <c r="D29" s="124">
        <f>D$26*'Value of Statistical Life'!D19*Appropriate_Crash_Reduction_Factor</f>
        <v>0</v>
      </c>
      <c r="E29" s="124">
        <f>E$26*'Value of Statistical Life'!E19*Appropriate_Crash_Reduction_Factor</f>
        <v>0.30303093737897502</v>
      </c>
      <c r="F29" s="124">
        <f>F$26*'Value of Statistical Life'!F19*Appropriate_Crash_Reduction_Factor</f>
        <v>0.95647863644859898</v>
      </c>
      <c r="G29" s="124">
        <f>G$26*'Value of Statistical Life'!G19*Appropriate_Crash_Reduction_Factor</f>
        <v>1.0555042285711853</v>
      </c>
      <c r="H29" s="124">
        <f>H$26*'Value of Statistical Life'!H19*Appropriate_Crash_Reduction_Factor</f>
        <v>0.32971676557502438</v>
      </c>
      <c r="I29" s="124">
        <f>I$26*'Value of Statistical Life'!I19*Appropriate_Crash_Reduction_Factor</f>
        <v>0.63023352107010111</v>
      </c>
      <c r="J29" s="124">
        <f t="shared" si="9"/>
        <v>3.2749640890438849</v>
      </c>
      <c r="K29" s="69"/>
      <c r="L29" s="106"/>
      <c r="M29" s="11">
        <f t="shared" si="1"/>
        <v>2043</v>
      </c>
      <c r="N29" s="112">
        <f t="shared" si="6"/>
        <v>47041.168733374601</v>
      </c>
      <c r="O29" s="113">
        <f t="shared" si="7"/>
        <v>3.4800910162731125E-3</v>
      </c>
      <c r="P29" s="114">
        <f t="shared" si="8"/>
        <v>0.68344657703101774</v>
      </c>
      <c r="Q29" s="115">
        <f t="shared" si="4"/>
        <v>1</v>
      </c>
      <c r="R29" s="30">
        <f>IF(M29=Year_Open_to_Traffic?,Calculations!$J$5,Calculations!R28+(Calculations!R28*Calculations!O29*Q29))</f>
        <v>8358596.3054329734</v>
      </c>
      <c r="S29" s="45">
        <f t="shared" si="0"/>
        <v>0</v>
      </c>
      <c r="T29" s="30">
        <f t="shared" si="5"/>
        <v>0</v>
      </c>
      <c r="U29" s="31">
        <f>T29/(1+Real_Discount_Rate)^(Calculations!M29-'Assumed Values'!$C$5)</f>
        <v>0</v>
      </c>
    </row>
    <row r="30" spans="1:21" ht="15.75">
      <c r="A30" s="38" t="s">
        <v>133</v>
      </c>
      <c r="B30" s="39" t="s">
        <v>134</v>
      </c>
      <c r="D30" s="124">
        <f>D$26*'Value of Statistical Life'!D20*Appropriate_Crash_Reduction_Factor</f>
        <v>0</v>
      </c>
      <c r="E30" s="124">
        <f>E$26*'Value of Statistical Life'!E20*Appropriate_Crash_Reduction_Factor</f>
        <v>0.20924323909222606</v>
      </c>
      <c r="F30" s="124">
        <f>F$26*'Value of Statistical Life'!F20*Appropriate_Crash_Reduction_Factor</f>
        <v>0.28006270223045326</v>
      </c>
      <c r="G30" s="124">
        <f>G$26*'Value of Statistical Life'!G20*Appropriate_Crash_Reduction_Factor</f>
        <v>0.17688077433887336</v>
      </c>
      <c r="H30" s="124">
        <f>H$26*'Value of Statistical Life'!H20*Appropriate_Crash_Reduction_Factor</f>
        <v>1.3321889518182804E-2</v>
      </c>
      <c r="I30" s="124">
        <f>I$26*'Value of Statistical Life'!I20*Appropriate_Crash_Reduction_Factor</f>
        <v>0.34218156796603666</v>
      </c>
      <c r="J30" s="124">
        <f t="shared" si="9"/>
        <v>1.0216901731457722</v>
      </c>
      <c r="K30" s="69"/>
      <c r="L30" s="106"/>
      <c r="M30" s="11">
        <f t="shared" si="1"/>
        <v>2044</v>
      </c>
      <c r="N30" s="112">
        <f t="shared" si="6"/>
        <v>47204.876282078607</v>
      </c>
      <c r="O30" s="113">
        <f t="shared" si="7"/>
        <v>3.4800910162731125E-3</v>
      </c>
      <c r="P30" s="114">
        <f t="shared" si="8"/>
        <v>0.68582503332384603</v>
      </c>
      <c r="Q30" s="115">
        <f t="shared" si="4"/>
        <v>1</v>
      </c>
      <c r="R30" s="30">
        <f>IF(M30=Year_Open_to_Traffic?,Calculations!$J$5,Calculations!R29+(Calculations!R29*Calculations!O30*Q30))</f>
        <v>8387684.9813441643</v>
      </c>
      <c r="S30" s="45">
        <f t="shared" si="0"/>
        <v>0</v>
      </c>
      <c r="T30" s="30">
        <f t="shared" si="5"/>
        <v>0</v>
      </c>
      <c r="U30" s="31">
        <f>T30/(1+Real_Discount_Rate)^(Calculations!M30-'Assumed Values'!$C$5)</f>
        <v>0</v>
      </c>
    </row>
    <row r="31" spans="1:21" ht="15.75">
      <c r="A31" s="38" t="s">
        <v>135</v>
      </c>
      <c r="B31" s="39" t="s">
        <v>136</v>
      </c>
      <c r="D31" s="124">
        <f>D$26*'Value of Statistical Life'!D21*Appropriate_Crash_Reduction_Factor</f>
        <v>0</v>
      </c>
      <c r="E31" s="124">
        <f>E$26*'Value of Statistical Life'!E21*Appropriate_Crash_Reduction_Factor</f>
        <v>5.7771251023177463E-2</v>
      </c>
      <c r="F31" s="124">
        <f>F$26*'Value of Statistical Life'!F21*Appropriate_Crash_Reduction_Factor</f>
        <v>5.4415191282632717E-2</v>
      </c>
      <c r="G31" s="124">
        <f>G$26*'Value of Statistical Life'!G21*Appropriate_Crash_Reduction_Factor</f>
        <v>2.3451979417479007E-2</v>
      </c>
      <c r="H31" s="124">
        <f>H$26*'Value of Statistical Life'!H21*Appropriate_Crash_Reduction_Factor</f>
        <v>0</v>
      </c>
      <c r="I31" s="124">
        <f>I$26*'Value of Statistical Life'!I21*Appropriate_Crash_Reduction_Factor</f>
        <v>4.382936006540266E-2</v>
      </c>
      <c r="J31" s="124">
        <f t="shared" si="9"/>
        <v>0.17946778178869185</v>
      </c>
      <c r="K31" s="69"/>
      <c r="L31" s="106"/>
      <c r="M31" s="11">
        <f t="shared" si="1"/>
        <v>2045</v>
      </c>
      <c r="N31" s="112">
        <f t="shared" si="6"/>
        <v>47369.153547952155</v>
      </c>
      <c r="O31" s="113">
        <f t="shared" si="7"/>
        <v>3.4800910162731125E-3</v>
      </c>
      <c r="P31" s="114">
        <f t="shared" si="8"/>
        <v>0.68821176686105157</v>
      </c>
      <c r="Q31" s="115">
        <f t="shared" si="4"/>
        <v>1</v>
      </c>
      <c r="R31" s="30">
        <f>IF(M31=Year_Open_to_Traffic?,Calculations!$J$5,Calculations!R30+(Calculations!R30*Calculations!O31*Q31))</f>
        <v>8416874.888495069</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2.5841982080864374E-2</v>
      </c>
      <c r="F32" s="124">
        <f>F$26*'Value of Statistical Life'!F22*Appropriate_Crash_Reduction_Factor</f>
        <v>8.8644101928159764E-3</v>
      </c>
      <c r="G32" s="124">
        <f>G$26*'Value of Statistical Life'!G22*Appropriate_Crash_Reduction_Factor</f>
        <v>2.1470122001917397E-3</v>
      </c>
      <c r="H32" s="124">
        <f>H$26*'Value of Statistical Life'!H22*Appropriate_Crash_Reduction_Factor</f>
        <v>4.9957085693185512E-3</v>
      </c>
      <c r="I32" s="124">
        <f>I$26*'Value of Statistical Life'!I22*Appropriate_Crash_Reduction_Factor</f>
        <v>1.9819110953399256E-2</v>
      </c>
      <c r="J32" s="124">
        <f t="shared" si="9"/>
        <v>6.1668223996589902E-2</v>
      </c>
      <c r="K32" s="69"/>
      <c r="L32" s="106"/>
      <c r="M32" s="11">
        <f t="shared" si="1"/>
        <v>2046</v>
      </c>
      <c r="N32" s="112">
        <f t="shared" si="6"/>
        <v>47534.002513662846</v>
      </c>
      <c r="O32" s="113">
        <f t="shared" si="7"/>
        <v>3.4800910162731125E-3</v>
      </c>
      <c r="P32" s="114">
        <f t="shared" si="8"/>
        <v>0.69060680644819816</v>
      </c>
      <c r="Q32" s="115">
        <f t="shared" si="4"/>
        <v>1</v>
      </c>
      <c r="R32" s="30">
        <f>IF(M32=Year_Open_to_Traffic?,Calculations!$J$5,Calculations!R31+(Calculations!R31*Calculations!O32*Q32))</f>
        <v>8446166.3791796155</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0.2594522618783251</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0.2594522618783251</v>
      </c>
      <c r="K33" s="69"/>
      <c r="L33" s="106"/>
      <c r="M33" s="11">
        <f t="shared" si="1"/>
        <v>2047</v>
      </c>
      <c r="N33" s="112">
        <f t="shared" si="6"/>
        <v>47699.425168778151</v>
      </c>
      <c r="O33" s="113">
        <f t="shared" si="7"/>
        <v>3.4800910162731125E-3</v>
      </c>
      <c r="P33" s="114">
        <f t="shared" si="8"/>
        <v>0.69301018099109557</v>
      </c>
      <c r="Q33" s="115">
        <f t="shared" si="4"/>
        <v>1</v>
      </c>
      <c r="R33" s="30">
        <f>IF(M33=Year_Open_to_Traffic?,Calculations!$J$5,Calculations!R32+(Calculations!R32*Calculations!O33*Q33))</f>
        <v>8475559.8069177456</v>
      </c>
      <c r="S33" s="45">
        <f t="shared" si="0"/>
        <v>0</v>
      </c>
      <c r="T33" s="30">
        <f t="shared" si="5"/>
        <v>0</v>
      </c>
      <c r="U33" s="31">
        <f>T33/(1+Real_Discount_Rate)^(Calculations!M33-'Assumed Values'!$C$5)</f>
        <v>0</v>
      </c>
    </row>
    <row r="34" spans="1:21" ht="15.75">
      <c r="J34" s="125"/>
      <c r="L34" s="106"/>
      <c r="M34" s="11">
        <f t="shared" si="1"/>
        <v>2048</v>
      </c>
      <c r="N34" s="112">
        <f t="shared" si="6"/>
        <v>47865.423509789405</v>
      </c>
      <c r="O34" s="113">
        <f t="shared" si="7"/>
        <v>3.4800910162731125E-3</v>
      </c>
      <c r="P34" s="114">
        <f t="shared" si="8"/>
        <v>0.69542191949614851</v>
      </c>
      <c r="Q34" s="115">
        <f t="shared" si="4"/>
        <v>1</v>
      </c>
      <c r="R34" s="30">
        <f>IF(M34=Year_Open_to_Traffic?,Calculations!$J$5,Calculations!R33+(Calculations!R33*Calculations!O34*Q34))</f>
        <v>8505055.5264596865</v>
      </c>
      <c r="S34" s="45">
        <f t="shared" si="0"/>
        <v>0</v>
      </c>
      <c r="T34" s="30">
        <f t="shared" si="5"/>
        <v>0</v>
      </c>
      <c r="U34" s="31">
        <f>T34/(1+Real_Discount_Rate)^(Calculations!M34-'Assumed Values'!$C$5)</f>
        <v>0</v>
      </c>
    </row>
    <row r="35" spans="1:21" ht="15.75">
      <c r="G35" s="41"/>
      <c r="H35" s="41"/>
      <c r="L35" s="106"/>
      <c r="M35" s="11">
        <f t="shared" si="1"/>
        <v>2049</v>
      </c>
      <c r="N35" s="112">
        <f t="shared" si="6"/>
        <v>48031.999540135934</v>
      </c>
      <c r="O35" s="113">
        <f t="shared" si="7"/>
        <v>3.4800910162731125E-3</v>
      </c>
      <c r="P35" s="114">
        <f t="shared" si="8"/>
        <v>0.69784205107070651</v>
      </c>
      <c r="Q35" s="115">
        <f t="shared" si="4"/>
        <v>1</v>
      </c>
      <c r="R35" s="30">
        <f>IF(M35=Year_Open_to_Traffic?,Calculations!$J$5,Calculations!R34+(Calculations!R34*Calculations!O35*Q35))</f>
        <v>8534653.8937902227</v>
      </c>
      <c r="S35" s="45">
        <f t="shared" si="0"/>
        <v>0</v>
      </c>
      <c r="T35" s="30">
        <f t="shared" si="5"/>
        <v>0</v>
      </c>
      <c r="U35" s="31">
        <f>T35/(1+Real_Discount_Rate)^(Calculations!M35-'Assumed Values'!$C$5)</f>
        <v>0</v>
      </c>
    </row>
    <row r="36" spans="1:21" ht="15.75">
      <c r="G36" s="41"/>
      <c r="H36" s="41"/>
      <c r="L36" s="106"/>
      <c r="M36" s="11">
        <f t="shared" si="1"/>
        <v>2050</v>
      </c>
      <c r="N36" s="112">
        <f t="shared" si="6"/>
        <v>48199.155270229196</v>
      </c>
      <c r="O36" s="113">
        <f t="shared" si="7"/>
        <v>3.4800910162731125E-3</v>
      </c>
      <c r="P36" s="114">
        <f t="shared" si="8"/>
        <v>0.70027060492341531</v>
      </c>
      <c r="Q36" s="115">
        <f t="shared" si="4"/>
        <v>1</v>
      </c>
      <c r="R36" s="30">
        <f>IF(M36=Year_Open_to_Traffic?,Calculations!$J$5,Calculations!R35+(Calculations!R35*Calculations!O36*Q36))</f>
        <v>8564355.2661330029</v>
      </c>
      <c r="S36" s="45">
        <f t="shared" si="0"/>
        <v>0</v>
      </c>
      <c r="T36" s="30">
        <f t="shared" si="5"/>
        <v>0</v>
      </c>
      <c r="U36" s="31">
        <f>T36/(1+Real_Discount_Rate)^(Calculations!M36-'Assumed Values'!$C$5)</f>
        <v>0</v>
      </c>
    </row>
    <row r="37" spans="1:21">
      <c r="M37" s="39"/>
      <c r="N37" s="39"/>
      <c r="O37" s="118"/>
      <c r="P37" s="120"/>
      <c r="Q37" s="39"/>
      <c r="R37" s="39"/>
      <c r="S37" s="39"/>
      <c r="T37" s="39"/>
      <c r="U37" s="31">
        <f>SUM(U4:U36)</f>
        <v>64328.355824712969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50</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168</v>
      </c>
      <c r="I13" s="54" t="s">
        <v>171</v>
      </c>
      <c r="J13" s="54" t="s">
        <v>174</v>
      </c>
      <c r="M13" s="39" t="s">
        <v>182</v>
      </c>
      <c r="N13" s="39" t="s">
        <v>183</v>
      </c>
      <c r="O13" s="39" t="s">
        <v>184</v>
      </c>
      <c r="Q13" s="62" t="s">
        <v>49</v>
      </c>
      <c r="R13" s="62" t="s">
        <v>185</v>
      </c>
      <c r="S13" s="62" t="s">
        <v>159</v>
      </c>
      <c r="T13" s="62" t="s">
        <v>163</v>
      </c>
      <c r="U13" s="62" t="s">
        <v>166</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50</v>
      </c>
      <c r="D16" s="60"/>
      <c r="E16" s="60">
        <v>1.1315255007738096</v>
      </c>
      <c r="F16" s="60">
        <v>3.9089062754004331</v>
      </c>
      <c r="G16" s="60">
        <v>19.95599519546537</v>
      </c>
      <c r="H16" s="60">
        <v>32.197043794745674</v>
      </c>
      <c r="I16" s="60">
        <v>398.29697627238102</v>
      </c>
      <c r="J16" s="60">
        <v>12.549646463127708</v>
      </c>
      <c r="M16" s="39" t="s">
        <v>50</v>
      </c>
      <c r="N16" s="84">
        <v>3738995.92</v>
      </c>
      <c r="O16" s="84">
        <f t="shared" si="0"/>
        <v>972138939.19999993</v>
      </c>
      <c r="Q16" s="63" t="s">
        <v>50</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168</v>
      </c>
      <c r="I27" s="54" t="s">
        <v>171</v>
      </c>
      <c r="J27" s="54" t="s">
        <v>174</v>
      </c>
      <c r="M27" s="39" t="s">
        <v>190</v>
      </c>
      <c r="N27" s="39" t="s">
        <v>183</v>
      </c>
      <c r="O27" s="39" t="s">
        <v>184</v>
      </c>
      <c r="Q27" s="62" t="s">
        <v>49</v>
      </c>
      <c r="R27" s="62" t="s">
        <v>185</v>
      </c>
      <c r="S27" s="62" t="s">
        <v>159</v>
      </c>
      <c r="T27" s="62" t="s">
        <v>163</v>
      </c>
      <c r="U27" s="62" t="s">
        <v>166</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50</v>
      </c>
      <c r="D30" s="60"/>
      <c r="E30" s="60">
        <v>0.99344502357157671</v>
      </c>
      <c r="F30" s="60">
        <v>5.5495894420205314</v>
      </c>
      <c r="G30" s="60">
        <v>33.605847176679887</v>
      </c>
      <c r="H30" s="60">
        <v>63.237914259073463</v>
      </c>
      <c r="I30" s="60">
        <v>637.62042150819855</v>
      </c>
      <c r="J30" s="60">
        <v>27.199839610890752</v>
      </c>
      <c r="M30" s="39" t="s">
        <v>50</v>
      </c>
      <c r="N30" s="84">
        <v>11227441.77</v>
      </c>
      <c r="O30" s="84">
        <f t="shared" si="2"/>
        <v>2919134860.1999998</v>
      </c>
      <c r="Q30" s="63" t="s">
        <v>50</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70</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FD61D7-F37E-416B-A97D-04DA2F1ABBA9}"/>
</file>

<file path=customXml/itemProps2.xml><?xml version="1.0" encoding="utf-8"?>
<ds:datastoreItem xmlns:ds="http://schemas.openxmlformats.org/officeDocument/2006/customXml" ds:itemID="{CB060C0D-C44D-4FD4-BCED-96C809216358}"/>
</file>

<file path=customXml/itemProps3.xml><?xml version="1.0" encoding="utf-8"?>
<ds:datastoreItem xmlns:ds="http://schemas.openxmlformats.org/officeDocument/2006/customXml" ds:itemID="{EC102994-AB34-4245-BA1A-7EC887B7FBF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2018-10-29T19:51:56Z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