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Y:\htdocs\2018-call-for-projects\documents\"/>
    </mc:Choice>
  </mc:AlternateContent>
  <xr:revisionPtr revIDLastSave="37" documentId="8_{7078633C-98B8-4B0D-8DA6-9DE4502EAA95}" xr6:coauthVersionLast="40" xr6:coauthVersionMax="40" xr10:uidLastSave="{C573828F-3D45-400F-A07A-E25912708492}"/>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<sst xmlns="http://schemas.openxmlformats.org/spreadsheetml/2006/main" count="292" uniqueCount="238">
  <si>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</si>
  <si>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</si>
  <si>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</si>
  <si>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</si>
  <si>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</si>
  <si>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</si>
  <si>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</si>
  <si>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</si>
  <si>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</si>
  <si>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</si>
  <si>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</si>
  <si>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</si>
  <si>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</si>
  <si>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</si>
  <si>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</si>
  <si>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</si>
  <si>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</si>
  <si>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</si>
  <si>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</si>
  <si>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</si>
  <si>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</si>
  <si>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</si>
  <si>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</si>
  <si>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</si>
  <si>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</si>
  <si>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</si>
  <si>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</si>
  <si>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</si>
  <si>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</si>
  <si>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</si>
  <si>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</si>
  <si>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</si>
  <si>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</si>
  <si>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</si>
  <si>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</si>
  <si>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</si>
  <si>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</si>
  <si>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</si>
  <si>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</si>
  <si>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</si>
  <si>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</si>
  <si>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</si>
  <si>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</si>
  <si>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</si>
  <si>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</si>
  <si>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</si>
  <si>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</si>
  <si>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</si>
  <si>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</si>
  <si>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BW 8 Corridor Study</t>
  </si>
  <si>
    <t>Data entered by the sponsors</t>
  </si>
  <si>
    <t>County</t>
  </si>
  <si>
    <t>Harris</t>
  </si>
  <si>
    <t>HGAC regional travel demand model data provided by HGAC</t>
  </si>
  <si>
    <t>Facility Type</t>
  </si>
  <si>
    <t>Freeway</t>
  </si>
  <si>
    <t>Data populated/calculated based on inputs</t>
  </si>
  <si>
    <t>Street Name:</t>
  </si>
  <si>
    <t>BW 8</t>
  </si>
  <si>
    <t>Benefits calculated by the template</t>
  </si>
  <si>
    <t>Limits (From)</t>
  </si>
  <si>
    <t>IH 10 west</t>
  </si>
  <si>
    <t>Limits (To)</t>
  </si>
  <si>
    <t>US 59 south</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</si>
  <si>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</si>
  <si>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</si>
  <si>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</si>
  <si>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</si>
  <si>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</si>
  <si>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</si>
  <si>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</si>
  <si>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</si>
  <si>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</si>
  <si>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Access Management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</si>
  <si>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</si>
  <si>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</si>
  <si>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</si>
  <si>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</si>
  <si>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</si>
  <si>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</si>
  <si>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</si>
  <si>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</si>
  <si>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</si>
  <si>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</si>
  <si>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</si>
  <si>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</si>
  <si>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</si>
  <si>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</si>
  <si>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</si>
  <si>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</si>
  <si>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</si>
  <si>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</si>
  <si>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</si>
  <si>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</si>
  <si>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</si>
  <si>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</si>
  <si>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</si>
  <si>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</si>
  <si>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</si>
  <si>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</si>
  <si>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</si>
  <si>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</si>
  <si>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</si>
  <si>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</si>
  <si>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</si>
  <si>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</si>
  <si>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</si>
  <si>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</si>
  <si>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</si>
  <si>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</si>
  <si>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</si>
  <si>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</si>
  <si>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</si>
  <si>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</si>
  <si>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</si>
  <si>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</si>
  <si>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</si>
  <si>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</si>
  <si>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</si>
  <si>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</si>
  <si>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</si>
  <si>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</si>
  <si>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</si>
  <si>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</si>
  <si>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</si>
  <si>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</si>
  <si>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</si>
  <si>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</si>
  <si>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</si>
  <si>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</si>
  <si>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</si>
  <si>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</si>
  <si>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</si>
  <si>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</si>
  <si>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</si>
  <si>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</si>
  <si>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</si>
  <si>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</si>
  <si>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</si>
  <si>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</si>
  <si>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</si>
  <si>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</si>
  <si>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</si>
  <si>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</si>
  <si>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</si>
  <si>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</si>
  <si>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</si>
  <si>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</si>
  <si>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</si>
  <si>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</si>
  <si>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</si>
  <si>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</si>
  <si>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</si>
  <si>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</si>
  <si>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</si>
  <si>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</si>
  <si>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</si>
  <si>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</si>
  <si>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Chambers</t>
  </si>
  <si>
    <t>Bottleneck Removal</t>
  </si>
  <si>
    <t>Fort Bend</t>
  </si>
  <si>
    <t xml:space="preserve">Freight Shuttle System </t>
  </si>
  <si>
    <t>Galveston</t>
  </si>
  <si>
    <t xml:space="preserve">Grade Separation </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</si>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</sst>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3" sqref="B13"/>
    </sheetView>
  </sheetViews>
  <sheetFormatPr defaultColWidth="9.140625" defaultRowHeight="14.2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
      <c r="A3" s="97" t="s">
        <v>46</v>
      </c>
      <c r="B3" s="95"/>
      <c r="C3" s="95"/>
      <c r="D3" s="95"/>
      <c r="E3" s="95"/>
    </row>
    <row r="4" spans="1:7">
      <c r="F4" s="98"/>
      <c r="G4" s="98"/>
    </row>
    <row r="5" spans="1:7">
      <c r="A5" s="99" t="s">
        <v>47</v>
      </c>
    </row>
    <row r="6" spans="1:7" ht="30">
      <c r="A6" s="7" t="s">
        <v>48</v>
      </c>
      <c r="B6" s="116" t="s">
        <v>49</v>
      </c>
      <c r="D6" s="7"/>
      <c r="E6" s="86" t="s">
        <v>50</v>
      </c>
    </row>
    <row r="7" spans="1:7">
      <c r="A7" s="7" t="s">
        <v>51</v>
      </c>
      <c r="B7" s="117" t="s">
        <v>52</v>
      </c>
      <c r="D7" s="87"/>
      <c r="E7" s="86" t="s">
        <v>53</v>
      </c>
    </row>
    <row r="8" spans="1:7">
      <c r="A8" s="7" t="s">
        <v>54</v>
      </c>
      <c r="B8" s="117" t="s">
        <v>55</v>
      </c>
      <c r="D8" s="88"/>
      <c r="E8" s="86" t="s">
        <v>56</v>
      </c>
    </row>
    <row r="9" spans="1:7">
      <c r="A9" s="7" t="s">
        <v>57</v>
      </c>
      <c r="B9" s="117" t="s">
        <v>58</v>
      </c>
      <c r="D9" s="89"/>
      <c r="E9" s="86" t="s">
        <v>59</v>
      </c>
    </row>
    <row r="10" spans="1:7">
      <c r="A10" s="7" t="s">
        <v>60</v>
      </c>
      <c r="B10" s="117" t="s">
        <v>61</v>
      </c>
    </row>
    <row r="11" spans="1:7">
      <c r="A11" s="7" t="s">
        <v>62</v>
      </c>
      <c r="B11" s="117" t="s">
        <v>63</v>
      </c>
    </row>
    <row r="12" spans="1:7">
      <c r="A12" s="7" t="s">
        <v>64</v>
      </c>
      <c r="B12" s="117">
        <v>8.6300000000000008</v>
      </c>
    </row>
    <row r="13" spans="1:7">
      <c r="A13" s="7" t="s">
        <v>65</v>
      </c>
      <c r="B13" s="117">
        <v>231</v>
      </c>
      <c r="F13" s="100"/>
    </row>
    <row r="14" spans="1:7">
      <c r="A14" s="7" t="s">
        <v>66</v>
      </c>
      <c r="B14" s="117" t="s">
        <v>67</v>
      </c>
    </row>
    <row r="17" spans="1:7">
      <c r="A17" s="99" t="s">
        <v>68</v>
      </c>
      <c r="E17" s="130" t="s">
        <v>69</v>
      </c>
      <c r="F17" s="131"/>
    </row>
    <row r="18" spans="1:7">
      <c r="A18" s="7" t="s">
        <v>70</v>
      </c>
      <c r="B18" s="118">
        <v>2026</v>
      </c>
      <c r="E18" s="88" t="s">
        <v>71</v>
      </c>
      <c r="F18" s="123">
        <f>$B$12/$B$32</f>
        <v>0.24657142857142858</v>
      </c>
    </row>
    <row r="19" spans="1:7" ht="30">
      <c r="A19" s="7" t="s">
        <v>72</v>
      </c>
      <c r="B19" s="119" t="s">
        <v>73</v>
      </c>
      <c r="E19" s="90" t="s">
        <v>74</v>
      </c>
      <c r="F19" s="124">
        <f>$B$12/$B$33</f>
        <v>0.66384615384615386</v>
      </c>
    </row>
    <row r="20" spans="1:7" ht="28.5">
      <c r="A20" s="114" t="s">
        <v>75</v>
      </c>
      <c r="B20" s="115">
        <f>VLOOKUP(B19,'Delay Reduction Factors'!B4:C80,2, FALSE)</f>
        <v>0.3</v>
      </c>
      <c r="E20" s="90" t="s">
        <v>76</v>
      </c>
      <c r="F20" s="123">
        <f>$F$19-$F$18</f>
        <v>0.41727472527472531</v>
      </c>
    </row>
    <row r="21" spans="1:7">
      <c r="A21" s="7" t="s">
        <v>77</v>
      </c>
      <c r="B21" s="64">
        <v>20</v>
      </c>
      <c r="D21" s="101"/>
      <c r="E21" s="88" t="s">
        <v>78</v>
      </c>
      <c r="F21" s="123">
        <f>$F$20*$B$20</f>
        <v>0.12518241758241758</v>
      </c>
      <c r="G21" s="102"/>
    </row>
    <row r="22" spans="1:7">
      <c r="D22" s="101"/>
      <c r="E22" s="88" t="s">
        <v>79</v>
      </c>
      <c r="F22" s="123">
        <f>$F$20-$F$21</f>
        <v>0.29209230769230776</v>
      </c>
      <c r="G22" s="102"/>
    </row>
    <row r="23" spans="1:7">
      <c r="E23" s="88" t="s">
        <v>80</v>
      </c>
      <c r="F23" s="123">
        <f>$F$18+$F$22</f>
        <v>0.53866373626373631</v>
      </c>
    </row>
    <row r="24" spans="1:7">
      <c r="A24" s="99" t="s">
        <v>81</v>
      </c>
      <c r="B24" s="103"/>
      <c r="D24" s="101"/>
    </row>
    <row r="25" spans="1:7">
      <c r="A25" s="7" t="s">
        <v>82</v>
      </c>
      <c r="B25" s="127">
        <v>51522</v>
      </c>
      <c r="D25" s="101"/>
    </row>
    <row r="28" spans="1:7">
      <c r="A28" s="88" t="s">
        <v>83</v>
      </c>
      <c r="B28" s="113">
        <f>IF(FacilityType='Delay Reduction Factors'!N5,'Inputs &amp; Outputs'!B25*45%, B25*43%)</f>
        <v>23184.9</v>
      </c>
      <c r="D28" s="101"/>
      <c r="E28" s="104" t="s">
        <v>84</v>
      </c>
      <c r="F28" s="105" t="s">
        <v>2</v>
      </c>
      <c r="G28" s="106" t="s">
        <v>85</v>
      </c>
    </row>
    <row r="29" spans="1:7">
      <c r="A29" s="88" t="s">
        <v>86</v>
      </c>
      <c r="B29" s="96">
        <f>VLOOKUP(Year_Open_to_Traffic?,Calculations!H4:I36,2)</f>
        <v>22242.992041015383</v>
      </c>
      <c r="D29" s="101"/>
      <c r="E29" s="90" t="s">
        <v>87</v>
      </c>
      <c r="F29" s="84">
        <f>$B$29*$F$23</f>
        <v>11981.493198497896</v>
      </c>
      <c r="G29" s="85">
        <f>$B$29*$F$19</f>
        <v>14765.924716458674</v>
      </c>
    </row>
    <row r="30" spans="1:7">
      <c r="B30" s="83"/>
      <c r="D30" s="101"/>
    </row>
    <row r="32" spans="1:7">
      <c r="A32" s="107" t="s">
        <v>88</v>
      </c>
      <c r="B32" s="120">
        <v>35</v>
      </c>
      <c r="D32" s="101"/>
    </row>
    <row r="33" spans="1:7" ht="28.5">
      <c r="A33" s="108" t="s">
        <v>89</v>
      </c>
      <c r="B33" s="121">
        <v>13</v>
      </c>
      <c r="D33" s="101"/>
      <c r="E33" s="101"/>
      <c r="F33" s="109"/>
    </row>
    <row r="34" spans="1:7">
      <c r="A34" s="110"/>
      <c r="B34" s="122"/>
      <c r="F34" s="109"/>
      <c r="G34" s="109"/>
    </row>
    <row r="35" spans="1:7">
      <c r="A35" s="88" t="s">
        <v>90</v>
      </c>
      <c r="B35" s="126">
        <f>$B$28</f>
        <v>23184.9</v>
      </c>
    </row>
    <row r="36" spans="1:7">
      <c r="A36" s="107" t="s">
        <v>91</v>
      </c>
      <c r="B36" s="120">
        <v>28827</v>
      </c>
    </row>
    <row r="37" spans="1:7">
      <c r="A37" s="107" t="s">
        <v>92</v>
      </c>
      <c r="B37" s="120">
        <v>22128</v>
      </c>
    </row>
    <row r="38" spans="1:7">
      <c r="A38" s="107" t="s">
        <v>93</v>
      </c>
      <c r="B38" s="120">
        <v>28827</v>
      </c>
    </row>
    <row r="39" spans="1:7">
      <c r="A39" s="107" t="s">
        <v>94</v>
      </c>
      <c r="B39" s="120">
        <v>24545</v>
      </c>
    </row>
    <row r="40" spans="1:7">
      <c r="A40" s="107" t="s">
        <v>95</v>
      </c>
      <c r="B40" s="120">
        <v>28827</v>
      </c>
      <c r="G40" s="111"/>
    </row>
    <row r="42" spans="1:7" ht="18">
      <c r="A42" s="97" t="s">
        <v>96</v>
      </c>
      <c r="B42" s="95"/>
    </row>
    <row r="43" spans="1:7">
      <c r="C43" s="98"/>
      <c r="D43" s="98"/>
      <c r="E43" s="98"/>
      <c r="F43" s="98"/>
      <c r="G43" s="98"/>
    </row>
    <row r="44" spans="1:7" hidden="1">
      <c r="A44" s="112" t="s">
        <v>97</v>
      </c>
    </row>
    <row r="45" spans="1:7">
      <c r="A45" s="112" t="s">
        <v>97</v>
      </c>
    </row>
    <row r="46" spans="1:7">
      <c r="A46" s="89" t="s">
        <v>98</v>
      </c>
      <c r="B46" s="40">
        <f>Calculations!$T$37</f>
        <v>175291.93509974855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9">
        <f>'Inputs &amp; Outputs'!F29*Annual_Days_of_Travel</f>
        <v>3115188.231609453</v>
      </c>
      <c r="F4" s="21">
        <f>'Inputs &amp; Outputs'!G29*Annual_Days_of_Travel</f>
        <v>3839140.4262792552</v>
      </c>
      <c r="H4" s="49">
        <v>2018</v>
      </c>
      <c r="I4" s="50">
        <f>'Inputs &amp; Outputs'!B28</f>
        <v>23184.9</v>
      </c>
      <c r="J4" s="50">
        <f>IF(H4=Year_Open_to_Traffic?,$F$4,0)</f>
        <v>0</v>
      </c>
      <c r="K4" s="50">
        <f>IF(H4=Year_Open_to_Traffic?,Calculations!$E$4,0)</f>
        <v>0</v>
      </c>
      <c r="L4" s="50">
        <f>IF(AND(H4&gt;=Year_Open_to_Traffic?, Calculations!H4&lt;Year_Open_to_Traffic?+'Inputs &amp; Outputs'!B$21), 1, 0)</f>
        <v>0</v>
      </c>
      <c r="M4" s="66" t="s">
        <v>111</v>
      </c>
      <c r="N4" s="67">
        <f>MIN(E8,1)</f>
        <v>0.80427724008741808</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c r="A5" s="17" t="s">
        <v>24</v>
      </c>
      <c r="B5" s="17">
        <v>1.39</v>
      </c>
      <c r="D5" s="17" t="s">
        <v>112</v>
      </c>
      <c r="E5" s="39">
        <f>(_2025_PeakVolume/_2018_PeakVolume)^(1/(2025-2018))-1</f>
        <v>-6.643182956387883E-3</v>
      </c>
      <c r="F5" s="26"/>
      <c r="H5" s="14">
        <f t="shared" ref="H5:H36" si="3">H4+1</f>
        <v>2019</v>
      </c>
      <c r="I5" s="80">
        <f>(I4*M5)+I4</f>
        <v>23030.878467474446</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-6.643182956387883E-3</v>
      </c>
      <c r="N5" s="72">
        <f t="shared" ref="N5:N11" si="6">N4*(1+IFERROR(_2018_2025_V_C_Growth,_2018_2045_V_C_Growth))</f>
        <v>0.79893427923385862</v>
      </c>
      <c r="O5" s="73">
        <f t="shared" ref="O5:O36" si="7">-(ROUNDUP(N5,0)-2)</f>
        <v>1</v>
      </c>
      <c r="P5" s="69">
        <f t="shared" ref="P5:P36" si="8">(J5-K5)*L5</f>
        <v>0</v>
      </c>
      <c r="Q5" s="70">
        <f t="shared" si="0"/>
        <v>0</v>
      </c>
      <c r="R5" s="71">
        <f t="shared" si="1"/>
        <v>18.136347569999995</v>
      </c>
      <c r="S5" s="78">
        <f t="shared" si="2"/>
        <v>0</v>
      </c>
      <c r="T5" s="65">
        <f t="shared" ref="T5:T36" si="9">S5/1.07^(H5-H$4)</f>
        <v>0</v>
      </c>
    </row>
    <row r="6" spans="1:24">
      <c r="A6" s="17" t="s">
        <v>113</v>
      </c>
      <c r="B6" s="19">
        <f>'Assumed Values'!C9</f>
        <v>17.728589999999997</v>
      </c>
      <c r="D6" s="17" t="s">
        <v>114</v>
      </c>
      <c r="E6" s="39">
        <f>(_2045_PeakVolume/_2025_PeakVolume)^(1/(2045-2025))-1</f>
        <v>5.196675750876123E-3</v>
      </c>
      <c r="F6" s="26"/>
      <c r="H6" s="49">
        <f t="shared" si="3"/>
        <v>2020</v>
      </c>
      <c r="I6" s="80">
        <f t="shared" ref="I6:I36" si="10">(I5*M6)+I5</f>
        <v>22877.880128168679</v>
      </c>
      <c r="J6" s="50">
        <f t="shared" si="4"/>
        <v>0</v>
      </c>
      <c r="K6" s="50">
        <f>IF(H6=Year_Open_to_Traffic?,Calculations!$E$4,K5+(K5*M6))</f>
        <v>0</v>
      </c>
      <c r="L6" s="50">
        <f>IF(AND(H6&gt;=Year_Open_to_Traffic?, Calculations!H6&lt;Year_Open_to_Traffic?+'Inputs &amp; Outputs'!B$21), 1, 0)</f>
        <v>0</v>
      </c>
      <c r="M6" s="66">
        <f t="shared" si="5"/>
        <v>-6.643182956387883E-3</v>
      </c>
      <c r="N6" s="72">
        <f t="shared" si="6"/>
        <v>0.79362681264677826</v>
      </c>
      <c r="O6" s="73">
        <f t="shared" si="7"/>
        <v>1</v>
      </c>
      <c r="P6" s="69">
        <f>(J6-K6)*L6</f>
        <v>0</v>
      </c>
      <c r="Q6" s="70">
        <f t="shared" si="0"/>
        <v>0</v>
      </c>
      <c r="R6" s="71">
        <f t="shared" si="1"/>
        <v>18.553483564109992</v>
      </c>
      <c r="S6" s="78">
        <f t="shared" si="2"/>
        <v>0</v>
      </c>
      <c r="T6" s="65">
        <f t="shared" si="9"/>
        <v>0</v>
      </c>
    </row>
    <row r="7" spans="1:24">
      <c r="A7" s="17" t="s">
        <v>115</v>
      </c>
      <c r="B7" s="48">
        <f>'Assumed Values'!C10</f>
        <v>2.3E-2</v>
      </c>
      <c r="D7" s="17" t="s">
        <v>116</v>
      </c>
      <c r="E7" s="39">
        <f>(_2045_PeakVolume/_2018_PeakVolume)^(1/(2045-2018))-1</f>
        <v>2.1135995019854192E-3</v>
      </c>
      <c r="F7" s="26"/>
      <c r="H7" s="14">
        <f t="shared" si="3"/>
        <v>2021</v>
      </c>
      <c r="I7" s="80">
        <f t="shared" si="10"/>
        <v>22725.898184822945</v>
      </c>
      <c r="J7" s="50">
        <f t="shared" si="4"/>
        <v>0</v>
      </c>
      <c r="K7" s="50">
        <f>IF(H7=Year_Open_to_Traffic?,Calculations!$E$4,K6+(K6*M7))</f>
        <v>0</v>
      </c>
      <c r="L7" s="50">
        <f>IF(AND(H7&gt;=Year_Open_to_Traffic?, Calculations!H7&lt;Year_Open_to_Traffic?+'Inputs &amp; Outputs'!B$21), 1, 0)</f>
        <v>0</v>
      </c>
      <c r="M7" s="66">
        <f t="shared" si="5"/>
        <v>-6.643182956387883E-3</v>
      </c>
      <c r="N7" s="72">
        <f t="shared" si="6"/>
        <v>0.78835460453127071</v>
      </c>
      <c r="O7" s="73">
        <f t="shared" si="7"/>
        <v>1</v>
      </c>
      <c r="P7" s="69">
        <f t="shared" si="8"/>
        <v>0</v>
      </c>
      <c r="Q7" s="70">
        <f t="shared" si="0"/>
        <v>0</v>
      </c>
      <c r="R7" s="71">
        <f t="shared" si="1"/>
        <v>18.980213686084522</v>
      </c>
      <c r="S7" s="78">
        <f t="shared" si="2"/>
        <v>0</v>
      </c>
      <c r="T7" s="65">
        <f t="shared" si="9"/>
        <v>0</v>
      </c>
    </row>
    <row r="8" spans="1:24">
      <c r="A8" s="17" t="s">
        <v>26</v>
      </c>
      <c r="B8" s="17">
        <v>260</v>
      </c>
      <c r="D8" s="17" t="s">
        <v>117</v>
      </c>
      <c r="E8" s="22">
        <f>_2018_PeakVolume/_2018_Capacity</f>
        <v>0.80427724008741808</v>
      </c>
      <c r="F8" s="26"/>
      <c r="H8" s="49">
        <f t="shared" si="3"/>
        <v>2022</v>
      </c>
      <c r="I8" s="80">
        <f t="shared" si="10"/>
        <v>22574.925885332923</v>
      </c>
      <c r="J8" s="50">
        <f t="shared" si="4"/>
        <v>0</v>
      </c>
      <c r="K8" s="50">
        <f>IF(H8=Year_Open_to_Traffic?,Calculations!$E$4,K7+(K7*M8))</f>
        <v>0</v>
      </c>
      <c r="L8" s="50">
        <f>IF(AND(H8&gt;=Year_Open_to_Traffic?, Calculations!H8&lt;Year_Open_to_Traffic?+'Inputs &amp; Outputs'!B$21), 1, 0)</f>
        <v>0</v>
      </c>
      <c r="M8" s="66">
        <f t="shared" si="5"/>
        <v>-6.643182956387883E-3</v>
      </c>
      <c r="N8" s="72">
        <f t="shared" si="6"/>
        <v>0.7831174206588587</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c r="A9" s="17" t="s">
        <v>118</v>
      </c>
      <c r="B9" s="17">
        <f>'Inputs &amp; Outputs'!B21</f>
        <v>20</v>
      </c>
      <c r="D9" s="17" t="s">
        <v>119</v>
      </c>
      <c r="E9" s="22">
        <f>_2025_PeakVolume/_2025_Capacity</f>
        <v>0.76761369549380787</v>
      </c>
      <c r="F9" s="26"/>
      <c r="H9" s="14">
        <f t="shared" si="3"/>
        <v>2023</v>
      </c>
      <c r="I9" s="80">
        <f t="shared" si="10"/>
        <v>22424.95652244976</v>
      </c>
      <c r="J9" s="50">
        <f t="shared" si="4"/>
        <v>0</v>
      </c>
      <c r="K9" s="50">
        <f>IF(H9=Year_Open_to_Traffic?,Calculations!$E$4,K8+(K8*M9))</f>
        <v>0</v>
      </c>
      <c r="L9" s="50">
        <f>IF(AND(H9&gt;=Year_Open_to_Traffic?, Calculations!H9&lt;Year_Open_to_Traffic?+'Inputs &amp; Outputs'!B$21), 1, 0)</f>
        <v>0</v>
      </c>
      <c r="M9" s="66">
        <f t="shared" si="5"/>
        <v>-6.643182956387883E-3</v>
      </c>
      <c r="N9" s="72">
        <f t="shared" si="6"/>
        <v>0.77791502835708737</v>
      </c>
      <c r="O9" s="73">
        <f t="shared" si="7"/>
        <v>1</v>
      </c>
      <c r="P9" s="69">
        <f t="shared" si="8"/>
        <v>0</v>
      </c>
      <c r="Q9" s="70">
        <f t="shared" si="0"/>
        <v>0</v>
      </c>
      <c r="R9" s="71">
        <f t="shared" si="1"/>
        <v>19.863344048684343</v>
      </c>
      <c r="S9" s="78">
        <f t="shared" si="2"/>
        <v>0</v>
      </c>
      <c r="T9" s="65">
        <f t="shared" si="9"/>
        <v>0</v>
      </c>
      <c r="W9" s="59"/>
    </row>
    <row r="10" spans="1:24">
      <c r="D10" s="17" t="s">
        <v>120</v>
      </c>
      <c r="E10" s="22">
        <f>_2045_PeakVolume/_2045_Capacity</f>
        <v>0.85145870191140249</v>
      </c>
      <c r="F10" s="26"/>
      <c r="H10" s="49">
        <f t="shared" si="3"/>
        <v>2024</v>
      </c>
      <c r="I10" s="80">
        <f t="shared" si="10"/>
        <v>22275.983433482084</v>
      </c>
      <c r="J10" s="50">
        <f t="shared" si="4"/>
        <v>0</v>
      </c>
      <c r="K10" s="50">
        <f>IF(H10=Year_Open_to_Traffic?,Calculations!$E$4,K9+(K9*M10))</f>
        <v>0</v>
      </c>
      <c r="L10" s="50">
        <f>IF(AND(H10&gt;=Year_Open_to_Traffic?, Calculations!H10&lt;Year_Open_to_Traffic?+'Inputs &amp; Outputs'!B$21), 1, 0)</f>
        <v>0</v>
      </c>
      <c r="M10" s="66">
        <f t="shared" si="5"/>
        <v>-6.643182956387883E-3</v>
      </c>
      <c r="N10" s="72">
        <f t="shared" si="6"/>
        <v>0.77274719649918755</v>
      </c>
      <c r="O10" s="73">
        <f t="shared" si="7"/>
        <v>1</v>
      </c>
      <c r="P10" s="69">
        <f>(J10-K10)*L10</f>
        <v>0</v>
      </c>
      <c r="Q10" s="70">
        <f t="shared" si="0"/>
        <v>0</v>
      </c>
      <c r="R10" s="71">
        <f t="shared" si="1"/>
        <v>20.320200961804083</v>
      </c>
      <c r="S10" s="78">
        <f t="shared" si="2"/>
        <v>0</v>
      </c>
      <c r="T10" s="65">
        <f t="shared" si="9"/>
        <v>0</v>
      </c>
      <c r="W10" s="59"/>
    </row>
    <row r="11" spans="1:24" ht="30" customHeight="1">
      <c r="A11" s="132" t="s">
        <v>121</v>
      </c>
      <c r="B11" s="133"/>
      <c r="D11" s="17" t="s">
        <v>122</v>
      </c>
      <c r="E11" s="39">
        <f>(E9/E8)^(1/(2025-2018))-1</f>
        <v>-6.643182956387883E-3</v>
      </c>
      <c r="F11" s="26"/>
      <c r="H11" s="14">
        <f t="shared" si="3"/>
        <v>2025</v>
      </c>
      <c r="I11" s="80">
        <f t="shared" si="10"/>
        <v>22127.999999999996</v>
      </c>
      <c r="J11" s="50">
        <f t="shared" si="4"/>
        <v>0</v>
      </c>
      <c r="K11" s="50">
        <f>IF(H11=Year_Open_to_Traffic?,Calculations!$E$4,K10+(K10*M11))</f>
        <v>0</v>
      </c>
      <c r="L11" s="50">
        <f>IF(AND(H11&gt;=Year_Open_to_Traffic?, Calculations!H11&lt;Year_Open_to_Traffic?+'Inputs &amp; Outputs'!B$21), 1, 0)</f>
        <v>0</v>
      </c>
      <c r="M11" s="66">
        <f t="shared" si="5"/>
        <v>-6.643182956387883E-3</v>
      </c>
      <c r="N11" s="72">
        <f t="shared" si="6"/>
        <v>0.76761369549380765</v>
      </c>
      <c r="O11" s="73">
        <f t="shared" si="7"/>
        <v>1</v>
      </c>
      <c r="P11" s="69">
        <f t="shared" si="8"/>
        <v>0</v>
      </c>
      <c r="Q11" s="70">
        <f t="shared" si="0"/>
        <v>0</v>
      </c>
      <c r="R11" s="71">
        <f t="shared" si="1"/>
        <v>20.787565583925574</v>
      </c>
      <c r="S11" s="78">
        <f t="shared" si="2"/>
        <v>0</v>
      </c>
      <c r="T11" s="65">
        <f t="shared" si="9"/>
        <v>0</v>
      </c>
      <c r="W11" s="59"/>
    </row>
    <row r="12" spans="1:24">
      <c r="A12" s="17" t="s">
        <v>55</v>
      </c>
      <c r="B12" s="18">
        <v>0.45</v>
      </c>
      <c r="D12" s="17" t="s">
        <v>123</v>
      </c>
      <c r="E12" s="39">
        <f>(E10/E9)^(1/(2045-2025))-1</f>
        <v>5.196675750876123E-3</v>
      </c>
      <c r="F12" s="26"/>
      <c r="H12" s="49">
        <v>2026</v>
      </c>
      <c r="I12" s="80">
        <f t="shared" si="10"/>
        <v>22242.992041015383</v>
      </c>
      <c r="J12" s="50">
        <f t="shared" si="4"/>
        <v>3839140.4262792552</v>
      </c>
      <c r="K12" s="50">
        <f>IF(H12=Year_Open_to_Traffic?,Calculations!$E$4,K11+(K11*M12))</f>
        <v>3115188.231609453</v>
      </c>
      <c r="L12" s="50">
        <f>IF(AND(H12&gt;=Year_Open_to_Traffic?, Calculations!H12&lt;Year_Open_to_Traffic?+'Inputs &amp; Outputs'!B$21), 1, 0)</f>
        <v>1</v>
      </c>
      <c r="M12" s="66">
        <f t="shared" ref="M12:M36" si="11">IFERROR(_2025_2045_Demand_Growth,_2018_2045_Demand_Growth)</f>
        <v>5.196675750876123E-3</v>
      </c>
      <c r="N12" s="72">
        <f t="shared" ref="N12:N36" si="12">N11*(1+IFERROR(_2025_2045_V_C_Growth,_2018_2045_V_C_Growth))</f>
        <v>0.77160273497122067</v>
      </c>
      <c r="O12" s="73">
        <f t="shared" si="7"/>
        <v>1</v>
      </c>
      <c r="P12" s="69">
        <f t="shared" si="8"/>
        <v>723952.19466980221</v>
      </c>
      <c r="Q12" s="70">
        <f t="shared" si="0"/>
        <v>1</v>
      </c>
      <c r="R12" s="71">
        <f t="shared" si="1"/>
        <v>21.265679592355859</v>
      </c>
      <c r="S12" s="78">
        <f t="shared" si="2"/>
        <v>21399.516222722876</v>
      </c>
      <c r="T12" s="65">
        <f t="shared" si="9"/>
        <v>12454.713274911954</v>
      </c>
      <c r="W12" s="59"/>
    </row>
    <row r="13" spans="1:24">
      <c r="A13" s="17" t="s">
        <v>124</v>
      </c>
      <c r="B13" s="18">
        <v>0.43</v>
      </c>
      <c r="D13" s="17" t="s">
        <v>125</v>
      </c>
      <c r="E13" s="39">
        <f>(E10/E8)^(1/(2045-2018))-1</f>
        <v>2.1135995019854192E-3</v>
      </c>
      <c r="F13" s="26"/>
      <c r="H13" s="14">
        <f t="shared" si="3"/>
        <v>2027</v>
      </c>
      <c r="I13" s="80">
        <f t="shared" si="10"/>
        <v>22358.58165838186</v>
      </c>
      <c r="J13" s="50">
        <f t="shared" si="4"/>
        <v>3859091.1942367088</v>
      </c>
      <c r="K13" s="50">
        <f>IF(H13=Year_Open_to_Traffic?,Calculations!$E$4,K12+(K12*M13))</f>
        <v>3131376.8547520726</v>
      </c>
      <c r="L13" s="50">
        <f>IF(AND(H13&gt;=Year_Open_to_Traffic?, Calculations!H13&lt;Year_Open_to_Traffic?+'Inputs &amp; Outputs'!B$21), 1, 0)</f>
        <v>1</v>
      </c>
      <c r="M13" s="66">
        <f t="shared" si="11"/>
        <v>5.196675750876123E-3</v>
      </c>
      <c r="N13" s="72">
        <f t="shared" si="12"/>
        <v>0.77561250419335526</v>
      </c>
      <c r="O13" s="73">
        <f t="shared" si="7"/>
        <v>1</v>
      </c>
      <c r="P13" s="69">
        <f t="shared" si="8"/>
        <v>727714.33948463621</v>
      </c>
      <c r="Q13" s="70">
        <f t="shared" si="0"/>
        <v>1</v>
      </c>
      <c r="R13" s="71">
        <f t="shared" si="1"/>
        <v>21.754790222980041</v>
      </c>
      <c r="S13" s="78">
        <f t="shared" si="2"/>
        <v>22005.469188862411</v>
      </c>
      <c r="T13" s="65">
        <f t="shared" si="9"/>
        <v>11969.517213218087</v>
      </c>
      <c r="W13" s="59"/>
    </row>
    <row r="14" spans="1:24">
      <c r="H14" s="49">
        <f>H13+1</f>
        <v>2028</v>
      </c>
      <c r="I14" s="80">
        <f t="shared" si="10"/>
        <v>22474.771957509955</v>
      </c>
      <c r="J14" s="50">
        <f t="shared" si="4"/>
        <v>3879145.6398662184</v>
      </c>
      <c r="K14" s="50">
        <f>IF(H14=Year_Open_to_Traffic?,Calculations!$E$4,K13+(K13*M14))</f>
        <v>3147649.6049200175</v>
      </c>
      <c r="L14" s="50">
        <f>IF(AND(H14&gt;=Year_Open_to_Traffic?, Calculations!H14&lt;Year_Open_to_Traffic?+'Inputs &amp; Outputs'!B$21), 1, 0)</f>
        <v>1</v>
      </c>
      <c r="M14" s="66">
        <f t="shared" si="11"/>
        <v>5.196675750876123E-3</v>
      </c>
      <c r="N14" s="72">
        <f t="shared" si="12"/>
        <v>0.77964311088597316</v>
      </c>
      <c r="O14" s="73">
        <f t="shared" si="7"/>
        <v>1</v>
      </c>
      <c r="P14" s="69">
        <f t="shared" si="8"/>
        <v>731496.0349462009</v>
      </c>
      <c r="Q14" s="70">
        <f t="shared" si="0"/>
        <v>1</v>
      </c>
      <c r="R14" s="71">
        <f t="shared" si="1"/>
        <v>22.255150398108579</v>
      </c>
      <c r="S14" s="78">
        <f t="shared" si="2"/>
        <v>22628.580439953428</v>
      </c>
      <c r="T14" s="65">
        <f t="shared" si="9"/>
        <v>11503.222848663847</v>
      </c>
      <c r="W14" s="59"/>
    </row>
    <row r="15" spans="1:24">
      <c r="H15" s="14">
        <f t="shared" si="3"/>
        <v>2029</v>
      </c>
      <c r="I15" s="80">
        <f t="shared" si="10"/>
        <v>22591.566059948018</v>
      </c>
      <c r="J15" s="50">
        <f t="shared" si="4"/>
        <v>3899304.3019470279</v>
      </c>
      <c r="K15" s="50">
        <f>IF(H15=Year_Open_to_Traffic?,Calculations!$E$4,K14+(K14*M15))</f>
        <v>3164006.9192941603</v>
      </c>
      <c r="L15" s="50">
        <f>IF(AND(H15&gt;=Year_Open_to_Traffic?, Calculations!H15&lt;Year_Open_to_Traffic?+'Inputs &amp; Outputs'!B$21), 1, 0)</f>
        <v>1</v>
      </c>
      <c r="M15" s="66">
        <f t="shared" si="11"/>
        <v>5.196675750876123E-3</v>
      </c>
      <c r="N15" s="72">
        <f t="shared" si="12"/>
        <v>0.78369466333465188</v>
      </c>
      <c r="O15" s="73">
        <f t="shared" si="7"/>
        <v>1</v>
      </c>
      <c r="P15" s="69">
        <f t="shared" si="8"/>
        <v>735297.38265286759</v>
      </c>
      <c r="Q15" s="70">
        <f t="shared" si="0"/>
        <v>1</v>
      </c>
      <c r="R15" s="71">
        <f t="shared" si="1"/>
        <v>22.767018857265079</v>
      </c>
      <c r="S15" s="78">
        <f t="shared" si="2"/>
        <v>23269.335833412133</v>
      </c>
      <c r="T15" s="65">
        <f t="shared" si="9"/>
        <v>11055.093831177644</v>
      </c>
      <c r="W15" s="59"/>
    </row>
    <row r="16" spans="1:24">
      <c r="H16" s="49">
        <f t="shared" si="3"/>
        <v>2030</v>
      </c>
      <c r="I16" s="80">
        <f t="shared" si="10"/>
        <v>22708.967103466064</v>
      </c>
      <c r="J16" s="50">
        <f t="shared" si="4"/>
        <v>3919567.7220582431</v>
      </c>
      <c r="K16" s="50">
        <f>IF(H16=Year_Open_to_Traffic?,Calculations!$E$4,K15+(K15*M16))</f>
        <v>3180449.2373272604</v>
      </c>
      <c r="L16" s="50">
        <f>IF(AND(H16&gt;=Year_Open_to_Traffic?, Calculations!H16&lt;Year_Open_to_Traffic?+'Inputs &amp; Outputs'!B$21), 1, 0)</f>
        <v>1</v>
      </c>
      <c r="M16" s="66">
        <f t="shared" si="11"/>
        <v>5.196675750876123E-3</v>
      </c>
      <c r="N16" s="72">
        <f t="shared" si="12"/>
        <v>0.78776727038769412</v>
      </c>
      <c r="O16" s="73">
        <f t="shared" si="7"/>
        <v>1</v>
      </c>
      <c r="P16" s="69">
        <f t="shared" si="8"/>
        <v>739118.48473098269</v>
      </c>
      <c r="Q16" s="70">
        <f t="shared" si="0"/>
        <v>1</v>
      </c>
      <c r="R16" s="71">
        <f t="shared" si="1"/>
        <v>23.290660290982171</v>
      </c>
      <c r="S16" s="78">
        <f t="shared" si="2"/>
        <v>23928.234984290186</v>
      </c>
      <c r="T16" s="65">
        <f t="shared" si="9"/>
        <v>10624.42249654739</v>
      </c>
      <c r="W16" s="59"/>
    </row>
    <row r="17" spans="1:23">
      <c r="A17" s="27"/>
      <c r="H17" s="14">
        <f t="shared" si="3"/>
        <v>2031</v>
      </c>
      <c r="I17" s="80">
        <f t="shared" si="10"/>
        <v>22826.978242140089</v>
      </c>
      <c r="J17" s="50">
        <f t="shared" si="4"/>
        <v>3939936.4445933797</v>
      </c>
      <c r="K17" s="50">
        <f>IF(H17=Year_Open_to_Traffic?,Calculations!$E$4,K16+(K16*M17))</f>
        <v>3196977.0007557715</v>
      </c>
      <c r="L17" s="50">
        <f>IF(AND(H17&gt;=Year_Open_to_Traffic?, Calculations!H17&lt;Year_Open_to_Traffic?+'Inputs &amp; Outputs'!B$21), 1, 0)</f>
        <v>1</v>
      </c>
      <c r="M17" s="66">
        <f t="shared" si="11"/>
        <v>5.196675750876123E-3</v>
      </c>
      <c r="N17" s="72">
        <f t="shared" si="12"/>
        <v>0.79186104145905167</v>
      </c>
      <c r="O17" s="73">
        <f t="shared" si="7"/>
        <v>1</v>
      </c>
      <c r="P17" s="69">
        <f t="shared" si="8"/>
        <v>742959.44383760821</v>
      </c>
      <c r="Q17" s="70">
        <f t="shared" si="0"/>
        <v>1</v>
      </c>
      <c r="R17" s="71">
        <f t="shared" si="1"/>
        <v>23.82634547767476</v>
      </c>
      <c r="S17" s="78">
        <f t="shared" si="2"/>
        <v>24605.791654838573</v>
      </c>
      <c r="T17" s="65">
        <f t="shared" si="9"/>
        <v>10210.528748910474</v>
      </c>
      <c r="W17" s="59"/>
    </row>
    <row r="18" spans="1:23">
      <c r="H18" s="49">
        <f t="shared" si="3"/>
        <v>2032</v>
      </c>
      <c r="I18" s="80">
        <f t="shared" si="10"/>
        <v>22945.602646436793</v>
      </c>
      <c r="J18" s="50">
        <f t="shared" si="4"/>
        <v>3960411.0167749911</v>
      </c>
      <c r="K18" s="50">
        <f>IF(H18=Year_Open_to_Traffic?,Calculations!$E$4,K17+(K17*M18))</f>
        <v>3213590.6536117075</v>
      </c>
      <c r="L18" s="50">
        <f>IF(AND(H18&gt;=Year_Open_to_Traffic?, Calculations!H18&lt;Year_Open_to_Traffic?+'Inputs &amp; Outputs'!B$21), 1, 0)</f>
        <v>1</v>
      </c>
      <c r="M18" s="66">
        <f t="shared" si="11"/>
        <v>5.196675750876123E-3</v>
      </c>
      <c r="N18" s="72">
        <f t="shared" si="12"/>
        <v>0.79597608653126539</v>
      </c>
      <c r="O18" s="73">
        <f t="shared" si="7"/>
        <v>1</v>
      </c>
      <c r="P18" s="69">
        <f t="shared" si="8"/>
        <v>746820.36316328356</v>
      </c>
      <c r="Q18" s="70">
        <f t="shared" si="0"/>
        <v>1</v>
      </c>
      <c r="R18" s="71">
        <f t="shared" si="1"/>
        <v>24.374351423661277</v>
      </c>
      <c r="S18" s="78">
        <f t="shared" si="2"/>
        <v>25302.534155102614</v>
      </c>
      <c r="T18" s="65">
        <f t="shared" si="9"/>
        <v>9812.7589867785264</v>
      </c>
      <c r="W18" s="59"/>
    </row>
    <row r="19" spans="1:23">
      <c r="H19" s="14">
        <f t="shared" si="3"/>
        <v>2033</v>
      </c>
      <c r="I19" s="80">
        <f t="shared" si="10"/>
        <v>23064.843503298769</v>
      </c>
      <c r="J19" s="50">
        <f t="shared" si="4"/>
        <v>3980991.9886693684</v>
      </c>
      <c r="K19" s="50">
        <f>IF(H19=Year_Open_to_Traffic?,Calculations!$E$4,K18+(K18*M19))</f>
        <v>3230290.6422345736</v>
      </c>
      <c r="L19" s="50">
        <f>IF(AND(H19&gt;=Year_Open_to_Traffic?, Calculations!H19&lt;Year_Open_to_Traffic?+'Inputs &amp; Outputs'!B$21), 1, 0)</f>
        <v>1</v>
      </c>
      <c r="M19" s="66">
        <f t="shared" si="11"/>
        <v>5.196675750876123E-3</v>
      </c>
      <c r="N19" s="72">
        <f t="shared" si="12"/>
        <v>0.80011251615841972</v>
      </c>
      <c r="O19" s="73">
        <f t="shared" si="7"/>
        <v>1</v>
      </c>
      <c r="P19" s="69">
        <f t="shared" si="8"/>
        <v>750701.34643479483</v>
      </c>
      <c r="Q19" s="70">
        <f t="shared" si="0"/>
        <v>1</v>
      </c>
      <c r="R19" s="71">
        <f t="shared" si="1"/>
        <v>24.934961506405479</v>
      </c>
      <c r="S19" s="78">
        <f t="shared" si="2"/>
        <v>26019.005754860136</v>
      </c>
      <c r="T19" s="65">
        <f t="shared" si="9"/>
        <v>9430.485070900706</v>
      </c>
      <c r="W19" s="59"/>
    </row>
    <row r="20" spans="1:23">
      <c r="H20" s="49">
        <f t="shared" si="3"/>
        <v>2034</v>
      </c>
      <c r="I20" s="80">
        <f t="shared" si="10"/>
        <v>23184.704016230113</v>
      </c>
      <c r="J20" s="50">
        <f t="shared" si="4"/>
        <v>4001679.9132013186</v>
      </c>
      <c r="K20" s="50">
        <f>IF(H20=Year_Open_to_Traffic?,Calculations!$E$4,K19+(K19*M20))</f>
        <v>3247077.4152833559</v>
      </c>
      <c r="L20" s="50">
        <f>IF(AND(H20&gt;=Year_Open_to_Traffic?, Calculations!H20&lt;Year_Open_to_Traffic?+'Inputs &amp; Outputs'!B$21), 1, 0)</f>
        <v>1</v>
      </c>
      <c r="M20" s="66">
        <f t="shared" si="11"/>
        <v>5.196675750876123E-3</v>
      </c>
      <c r="N20" s="72">
        <f t="shared" si="12"/>
        <v>0.80427044146911264</v>
      </c>
      <c r="O20" s="73">
        <f t="shared" si="7"/>
        <v>1</v>
      </c>
      <c r="P20" s="69">
        <f t="shared" si="8"/>
        <v>754602.49791796273</v>
      </c>
      <c r="Q20" s="70">
        <f t="shared" si="0"/>
        <v>1</v>
      </c>
      <c r="R20" s="71">
        <f t="shared" si="1"/>
        <v>25.508465621052807</v>
      </c>
      <c r="S20" s="78">
        <f t="shared" si="2"/>
        <v>26755.765107224281</v>
      </c>
      <c r="T20" s="65">
        <f t="shared" si="9"/>
        <v>9063.1033323358643</v>
      </c>
      <c r="W20" s="59"/>
    </row>
    <row r="21" spans="1:23">
      <c r="H21" s="14">
        <f t="shared" si="3"/>
        <v>2035</v>
      </c>
      <c r="I21" s="80">
        <f t="shared" si="10"/>
        <v>23305.187405382498</v>
      </c>
      <c r="J21" s="50">
        <f t="shared" si="4"/>
        <v>4022475.34616902</v>
      </c>
      <c r="K21" s="50">
        <f>IF(H21=Year_Open_to_Traffic?,Calculations!$E$4,K20+(K20*M21))</f>
        <v>3263951.4237485765</v>
      </c>
      <c r="L21" s="50">
        <f>IF(AND(H21&gt;=Year_Open_to_Traffic?, Calculations!H21&lt;Year_Open_to_Traffic?+'Inputs &amp; Outputs'!B$21), 1, 0)</f>
        <v>1</v>
      </c>
      <c r="M21" s="66">
        <f t="shared" si="11"/>
        <v>5.196675750876123E-3</v>
      </c>
      <c r="N21" s="72">
        <f t="shared" si="12"/>
        <v>0.80844997416944164</v>
      </c>
      <c r="O21" s="73">
        <f t="shared" si="7"/>
        <v>1</v>
      </c>
      <c r="P21" s="69">
        <f t="shared" si="8"/>
        <v>758523.9224204435</v>
      </c>
      <c r="Q21" s="70">
        <f t="shared" si="0"/>
        <v>1</v>
      </c>
      <c r="R21" s="71">
        <f t="shared" si="1"/>
        <v>26.095160330337016</v>
      </c>
      <c r="S21" s="78">
        <f t="shared" si="2"/>
        <v>27513.38668424105</v>
      </c>
      <c r="T21" s="65">
        <f t="shared" si="9"/>
        <v>8710.0336191669758</v>
      </c>
      <c r="W21" s="59"/>
    </row>
    <row r="22" spans="1:23">
      <c r="H22" s="49">
        <f>H21+1</f>
        <v>2036</v>
      </c>
      <c r="I22" s="80">
        <f t="shared" si="10"/>
        <v>23426.296907641674</v>
      </c>
      <c r="J22" s="50">
        <f t="shared" si="4"/>
        <v>4043378.8462589537</v>
      </c>
      <c r="K22" s="50">
        <f>IF(H22=Year_Open_to_Traffic?,Calculations!$E$4,K21+(K21*M22))</f>
        <v>3280913.1209644084</v>
      </c>
      <c r="L22" s="50">
        <f>IF(AND(H22&gt;=Year_Open_to_Traffic?, Calculations!H22&lt;Year_Open_to_Traffic?+'Inputs &amp; Outputs'!B$21), 1, 0)</f>
        <v>1</v>
      </c>
      <c r="M22" s="66">
        <f t="shared" si="11"/>
        <v>5.196675750876123E-3</v>
      </c>
      <c r="N22" s="72">
        <f t="shared" si="12"/>
        <v>0.81265122654600441</v>
      </c>
      <c r="O22" s="73">
        <f t="shared" si="7"/>
        <v>1</v>
      </c>
      <c r="P22" s="69">
        <f t="shared" si="8"/>
        <v>762465.72529454529</v>
      </c>
      <c r="Q22" s="70">
        <f t="shared" si="0"/>
        <v>1</v>
      </c>
      <c r="R22" s="71">
        <f t="shared" si="1"/>
        <v>26.695349017934767</v>
      </c>
      <c r="S22" s="78">
        <f t="shared" si="2"/>
        <v>28292.461224821414</v>
      </c>
      <c r="T22" s="65">
        <f t="shared" si="9"/>
        <v>8370.7183803526259</v>
      </c>
      <c r="W22" s="59"/>
    </row>
    <row r="23" spans="1:23">
      <c r="H23" s="14">
        <f t="shared" si="3"/>
        <v>2037</v>
      </c>
      <c r="I23" s="80">
        <f t="shared" si="10"/>
        <v>23548.035776714441</v>
      </c>
      <c r="J23" s="50">
        <f t="shared" si="4"/>
        <v>4064390.9750609132</v>
      </c>
      <c r="K23" s="50">
        <f>IF(H23=Year_Open_to_Traffic?,Calculations!$E$4,K22+(K22*M23))</f>
        <v>3297962.9626208553</v>
      </c>
      <c r="L23" s="50">
        <f>IF(AND(H23&gt;=Year_Open_to_Traffic?, Calculations!H23&lt;Year_Open_to_Traffic?+'Inputs &amp; Outputs'!B$21), 1, 0)</f>
        <v>1</v>
      </c>
      <c r="M23" s="66">
        <f t="shared" si="11"/>
        <v>5.196675750876123E-3</v>
      </c>
      <c r="N23" s="72">
        <f t="shared" si="12"/>
        <v>0.81687431146891576</v>
      </c>
      <c r="O23" s="73">
        <f t="shared" si="7"/>
        <v>1</v>
      </c>
      <c r="P23" s="69">
        <f t="shared" si="8"/>
        <v>766428.01244005794</v>
      </c>
      <c r="Q23" s="70">
        <f t="shared" si="0"/>
        <v>1</v>
      </c>
      <c r="R23" s="71">
        <f t="shared" si="1"/>
        <v>27.309342045347261</v>
      </c>
      <c r="S23" s="78">
        <f t="shared" si="2"/>
        <v>29093.59619535708</v>
      </c>
      <c r="T23" s="65">
        <f t="shared" si="9"/>
        <v>8044.6217852686887</v>
      </c>
      <c r="W23" s="59"/>
    </row>
    <row r="24" spans="1:23">
      <c r="H24" s="49">
        <f t="shared" si="3"/>
        <v>2038</v>
      </c>
      <c r="I24" s="80">
        <f t="shared" si="10"/>
        <v>23670.407283216056</v>
      </c>
      <c r="J24" s="50">
        <f t="shared" si="4"/>
        <v>4085512.2970830919</v>
      </c>
      <c r="K24" s="50">
        <f>IF(H24=Year_Open_to_Traffic?,Calculations!$E$4,K23+(K23*M24))</f>
        <v>3315101.4067759947</v>
      </c>
      <c r="L24" s="50">
        <f>IF(AND(H24&gt;=Year_Open_to_Traffic?, Calculations!H24&lt;Year_Open_to_Traffic?+'Inputs &amp; Outputs'!B$21), 1, 0)</f>
        <v>1</v>
      </c>
      <c r="M24" s="66">
        <f t="shared" si="11"/>
        <v>5.196675750876123E-3</v>
      </c>
      <c r="N24" s="72">
        <f t="shared" si="12"/>
        <v>0.82111934239483986</v>
      </c>
      <c r="O24" s="73">
        <f t="shared" si="7"/>
        <v>1</v>
      </c>
      <c r="P24" s="69">
        <f>(J24-K24)*L24</f>
        <v>770410.89030709723</v>
      </c>
      <c r="Q24" s="70">
        <f t="shared" si="0"/>
        <v>1</v>
      </c>
      <c r="R24" s="71">
        <f t="shared" si="1"/>
        <v>27.93745691239025</v>
      </c>
      <c r="S24" s="78">
        <f t="shared" si="2"/>
        <v>29917.416263379124</v>
      </c>
      <c r="T24" s="65">
        <f t="shared" si="9"/>
        <v>7731.2288775498509</v>
      </c>
      <c r="W24" s="59"/>
    </row>
    <row r="25" spans="1:23">
      <c r="H25" s="14">
        <f t="shared" si="3"/>
        <v>2039</v>
      </c>
      <c r="I25" s="80">
        <f t="shared" si="10"/>
        <v>23793.414714758106</v>
      </c>
      <c r="J25" s="50">
        <f t="shared" si="4"/>
        <v>4106743.3797672498</v>
      </c>
      <c r="K25" s="50">
        <f>IF(H25=Year_Open_to_Traffic?,Calculations!$E$4,K24+(K24*M25))</f>
        <v>3332328.9138682829</v>
      </c>
      <c r="L25" s="50">
        <f>IF(AND(H25&gt;=Year_Open_to_Traffic?, Calculations!H25&lt;Year_Open_to_Traffic?+'Inputs &amp; Outputs'!B$21), 1, 0)</f>
        <v>1</v>
      </c>
      <c r="M25" s="66">
        <f t="shared" si="11"/>
        <v>5.196675750876123E-3</v>
      </c>
      <c r="N25" s="72">
        <f t="shared" si="12"/>
        <v>0.82538643337003847</v>
      </c>
      <c r="O25" s="73">
        <f t="shared" si="7"/>
        <v>1</v>
      </c>
      <c r="P25" s="69">
        <f t="shared" si="8"/>
        <v>774414.46589896688</v>
      </c>
      <c r="Q25" s="70">
        <f t="shared" si="0"/>
        <v>1</v>
      </c>
      <c r="R25" s="71">
        <f t="shared" si="1"/>
        <v>28.580018421375218</v>
      </c>
      <c r="S25" s="78">
        <f t="shared" si="2"/>
        <v>30764.563784628968</v>
      </c>
      <c r="T25" s="65">
        <f t="shared" si="9"/>
        <v>7430.0447618948374</v>
      </c>
      <c r="W25" s="59"/>
    </row>
    <row r="26" spans="1:23">
      <c r="H26" s="49">
        <f t="shared" si="3"/>
        <v>2040</v>
      </c>
      <c r="I26" s="80">
        <f t="shared" si="10"/>
        <v>23917.061376036829</v>
      </c>
      <c r="J26" s="50">
        <f t="shared" si="4"/>
        <v>4128084.7935039573</v>
      </c>
      <c r="K26" s="50">
        <f>IF(H26=Year_Open_to_Traffic?,Calculations!$E$4,K25+(K25*M26))</f>
        <v>3349645.9467289257</v>
      </c>
      <c r="L26" s="50">
        <f>IF(AND(H26&gt;=Year_Open_to_Traffic?, Calculations!H26&lt;Year_Open_to_Traffic?+'Inputs &amp; Outputs'!B$21), 1, 0)</f>
        <v>1</v>
      </c>
      <c r="M26" s="66">
        <f t="shared" si="11"/>
        <v>5.196675750876123E-3</v>
      </c>
      <c r="N26" s="72">
        <f t="shared" si="12"/>
        <v>0.82967569903343463</v>
      </c>
      <c r="O26" s="73">
        <f t="shared" si="7"/>
        <v>1</v>
      </c>
      <c r="P26" s="69">
        <f t="shared" si="8"/>
        <v>778438.84677503165</v>
      </c>
      <c r="Q26" s="70">
        <f t="shared" si="0"/>
        <v>1</v>
      </c>
      <c r="R26" s="71">
        <f t="shared" si="1"/>
        <v>29.237358845066851</v>
      </c>
      <c r="S26" s="78">
        <f t="shared" si="2"/>
        <v>31635.699303921239</v>
      </c>
      <c r="T26" s="65">
        <f t="shared" si="9"/>
        <v>7140.5938225510754</v>
      </c>
      <c r="W26" s="59"/>
    </row>
    <row r="27" spans="1:23">
      <c r="H27" s="14">
        <f t="shared" si="3"/>
        <v>2041</v>
      </c>
      <c r="I27" s="80">
        <f t="shared" si="10"/>
        <v>24041.350588921894</v>
      </c>
      <c r="J27" s="50">
        <f t="shared" si="4"/>
        <v>4149537.1116479198</v>
      </c>
      <c r="K27" s="50">
        <f>IF(H27=Year_Open_to_Traffic?,Calculations!$E$4,K26+(K26*M27))</f>
        <v>3367052.9705943125</v>
      </c>
      <c r="L27" s="50">
        <f>IF(AND(H27&gt;=Year_Open_to_Traffic?, Calculations!H27&lt;Year_Open_to_Traffic?+'Inputs &amp; Outputs'!B$21), 1, 0)</f>
        <v>1</v>
      </c>
      <c r="M27" s="66">
        <f t="shared" si="11"/>
        <v>5.196675750876123E-3</v>
      </c>
      <c r="N27" s="72">
        <f t="shared" si="12"/>
        <v>0.83398725461969292</v>
      </c>
      <c r="O27" s="73">
        <f t="shared" si="7"/>
        <v>1</v>
      </c>
      <c r="P27" s="69">
        <f t="shared" si="8"/>
        <v>782484.14105360722</v>
      </c>
      <c r="Q27" s="70">
        <f t="shared" si="0"/>
        <v>1</v>
      </c>
      <c r="R27" s="71">
        <f t="shared" si="1"/>
        <v>29.909818098503379</v>
      </c>
      <c r="S27" s="78">
        <f t="shared" si="2"/>
        <v>32531.502070189101</v>
      </c>
      <c r="T27" s="65">
        <f t="shared" si="9"/>
        <v>6862.4189722447063</v>
      </c>
      <c r="W27" s="59"/>
    </row>
    <row r="28" spans="1:23">
      <c r="H28" s="49">
        <f t="shared" si="3"/>
        <v>2042</v>
      </c>
      <c r="I28" s="80">
        <f t="shared" si="10"/>
        <v>24166.285692545654</v>
      </c>
      <c r="J28" s="50">
        <f t="shared" si="4"/>
        <v>4171100.9105333812</v>
      </c>
      <c r="K28" s="50">
        <f>IF(H28=Year_Open_to_Traffic?,Calculations!$E$4,K27+(K27*M28))</f>
        <v>3384550.4531185152</v>
      </c>
      <c r="L28" s="50">
        <f>IF(AND(H28&gt;=Year_Open_to_Traffic?, Calculations!H28&lt;Year_Open_to_Traffic?+'Inputs &amp; Outputs'!B$21), 1, 0)</f>
        <v>1</v>
      </c>
      <c r="M28" s="66">
        <f t="shared" si="11"/>
        <v>5.196675750876123E-3</v>
      </c>
      <c r="N28" s="72">
        <f t="shared" si="12"/>
        <v>0.83832121596231479</v>
      </c>
      <c r="O28" s="73">
        <f t="shared" si="7"/>
        <v>1</v>
      </c>
      <c r="P28" s="69">
        <f t="shared" si="8"/>
        <v>786550.45741486596</v>
      </c>
      <c r="Q28" s="70">
        <f t="shared" si="0"/>
        <v>1</v>
      </c>
      <c r="R28" s="71">
        <f t="shared" si="1"/>
        <v>30.597743914768959</v>
      </c>
      <c r="S28" s="78">
        <f t="shared" si="2"/>
        <v>33452.670566113993</v>
      </c>
      <c r="T28" s="65">
        <f t="shared" si="9"/>
        <v>6595.0809303699616</v>
      </c>
      <c r="W28" s="59"/>
    </row>
    <row r="29" spans="1:23">
      <c r="H29" s="14">
        <f t="shared" si="3"/>
        <v>2043</v>
      </c>
      <c r="I29" s="80">
        <f t="shared" si="10"/>
        <v>24291.87004339285</v>
      </c>
      <c r="J29" s="50">
        <f t="shared" si="4"/>
        <v>4192776.7694896073</v>
      </c>
      <c r="K29" s="50">
        <f>IF(H29=Year_Open_to_Traffic?,Calculations!$E$4,K28+(K28*M29))</f>
        <v>3402138.8643858531</v>
      </c>
      <c r="L29" s="50">
        <f>IF(AND(H29&gt;=Year_Open_to_Traffic?, Calculations!H29&lt;Year_Open_to_Traffic?+'Inputs &amp; Outputs'!B$21), 1, 0)</f>
        <v>1</v>
      </c>
      <c r="M29" s="66">
        <f t="shared" si="11"/>
        <v>5.196675750876123E-3</v>
      </c>
      <c r="N29" s="72">
        <f t="shared" si="12"/>
        <v>0.84267769949675109</v>
      </c>
      <c r="O29" s="73">
        <f t="shared" si="7"/>
        <v>1</v>
      </c>
      <c r="P29" s="69">
        <f t="shared" si="8"/>
        <v>790637.90510375425</v>
      </c>
      <c r="Q29" s="70">
        <f t="shared" si="0"/>
        <v>1</v>
      </c>
      <c r="R29" s="71">
        <f t="shared" si="1"/>
        <v>31.301492024808638</v>
      </c>
      <c r="S29" s="78">
        <f t="shared" si="2"/>
        <v>34399.923052752034</v>
      </c>
      <c r="T29" s="65">
        <f t="shared" si="9"/>
        <v>6338.1575292978914</v>
      </c>
      <c r="W29" s="59"/>
    </row>
    <row r="30" spans="1:23">
      <c r="H30" s="14">
        <f t="shared" si="3"/>
        <v>2044</v>
      </c>
      <c r="I30" s="80">
        <f t="shared" si="10"/>
        <v>24418.107015390782</v>
      </c>
      <c r="J30" s="50">
        <f t="shared" si="4"/>
        <v>4214565.2708564503</v>
      </c>
      <c r="K30" s="50">
        <f>IF(H30=Year_Open_to_Traffic?,Calculations!$E$4,K29+(K29*M30))</f>
        <v>3419818.6769235204</v>
      </c>
      <c r="L30" s="50">
        <f>IF(AND(H30&gt;=Year_Open_to_Traffic?, Calculations!H30&lt;Year_Open_to_Traffic?+'Inputs &amp; Outputs'!B$21), 1, 0)</f>
        <v>1</v>
      </c>
      <c r="M30" s="66">
        <f t="shared" si="11"/>
        <v>5.196675750876123E-3</v>
      </c>
      <c r="N30" s="72">
        <f t="shared" si="12"/>
        <v>0.84705682226352996</v>
      </c>
      <c r="O30" s="73">
        <f t="shared" si="7"/>
        <v>1</v>
      </c>
      <c r="P30" s="69">
        <f t="shared" si="8"/>
        <v>794746.59393292991</v>
      </c>
      <c r="Q30" s="70">
        <f t="shared" si="0"/>
        <v>1</v>
      </c>
      <c r="R30" s="71">
        <f t="shared" si="1"/>
        <v>32.021426341379232</v>
      </c>
      <c r="S30" s="78">
        <f t="shared" si="2"/>
        <v>35373.998129582629</v>
      </c>
      <c r="T30" s="65">
        <f t="shared" si="9"/>
        <v>6091.2430477091975</v>
      </c>
      <c r="W30" s="59"/>
    </row>
    <row r="31" spans="1:23">
      <c r="H31" s="14">
        <f t="shared" si="3"/>
        <v>2045</v>
      </c>
      <c r="I31" s="80">
        <f t="shared" si="10"/>
        <v>24544.99999999996</v>
      </c>
      <c r="J31" s="50">
        <f t="shared" si="4"/>
        <v>4236466.9999999944</v>
      </c>
      <c r="K31" s="50">
        <f>IF(H31=Year_Open_to_Traffic?,Calculations!$E$4,K30+(K30*M31))</f>
        <v>3437590.3657142823</v>
      </c>
      <c r="L31" s="50">
        <f>IF(AND(H31&gt;=Year_Open_to_Traffic?, Calculations!H31&lt;Year_Open_to_Traffic?+'Inputs &amp; Outputs'!B$21), 1, 0)</f>
        <v>1</v>
      </c>
      <c r="M31" s="66">
        <f t="shared" si="11"/>
        <v>5.196675750876123E-3</v>
      </c>
      <c r="N31" s="72">
        <f t="shared" si="12"/>
        <v>0.85145870191140105</v>
      </c>
      <c r="O31" s="73">
        <f t="shared" si="7"/>
        <v>1</v>
      </c>
      <c r="P31" s="69">
        <f t="shared" si="8"/>
        <v>798876.63428571215</v>
      </c>
      <c r="Q31" s="70">
        <f t="shared" si="0"/>
        <v>1</v>
      </c>
      <c r="R31" s="71">
        <f t="shared" si="1"/>
        <v>32.757919147230957</v>
      </c>
      <c r="S31" s="78">
        <f t="shared" si="2"/>
        <v>36375.655310415263</v>
      </c>
      <c r="T31" s="65">
        <f t="shared" si="9"/>
        <v>5853.9475698982424</v>
      </c>
      <c r="W31" s="59"/>
    </row>
    <row r="32" spans="1:23">
      <c r="H32" s="14">
        <f t="shared" si="3"/>
        <v>2046</v>
      </c>
      <c r="I32" s="80">
        <f t="shared" si="10"/>
        <v>24672.552406305214</v>
      </c>
      <c r="J32" s="50">
        <f t="shared" si="4"/>
        <v>4258482.5453282809</v>
      </c>
      <c r="K32" s="50">
        <f>IF(H32=Year_Open_to_Traffic?,Calculations!$E$4,K31+(K31*M32))</f>
        <v>3455454.4082092349</v>
      </c>
      <c r="L32" s="50">
        <f>IF(AND(H32&gt;=Year_Open_to_Traffic?, Calculations!H32&lt;Year_Open_to_Traffic?+'Inputs &amp; Outputs'!B$21), 1, 0)</f>
        <v>0</v>
      </c>
      <c r="M32" s="66">
        <f t="shared" si="11"/>
        <v>5.196675750876123E-3</v>
      </c>
      <c r="N32" s="72">
        <f t="shared" si="12"/>
        <v>0.85588345670049648</v>
      </c>
      <c r="O32" s="73">
        <f t="shared" si="7"/>
        <v>1</v>
      </c>
      <c r="P32" s="69">
        <f t="shared" si="8"/>
        <v>0</v>
      </c>
      <c r="Q32" s="70">
        <f t="shared" si="0"/>
        <v>0</v>
      </c>
      <c r="R32" s="71">
        <f t="shared" si="1"/>
        <v>33.511351287617266</v>
      </c>
      <c r="S32" s="78">
        <f t="shared" si="2"/>
        <v>0</v>
      </c>
      <c r="T32" s="65">
        <f t="shared" si="9"/>
        <v>0</v>
      </c>
      <c r="W32" s="59"/>
    </row>
    <row r="33" spans="8:23">
      <c r="H33" s="14">
        <f t="shared" si="3"/>
        <v>2047</v>
      </c>
      <c r="I33" s="80">
        <f t="shared" si="10"/>
        <v>24800.767661107282</v>
      </c>
      <c r="J33" s="50">
        <f t="shared" si="4"/>
        <v>4280612.4983071173</v>
      </c>
      <c r="K33" s="50">
        <f>IF(H33=Year_Open_to_Traffic?,Calculations!$E$4,K32+(K32*M33))</f>
        <v>3473411.284340634</v>
      </c>
      <c r="L33" s="50">
        <f>IF(AND(H33&gt;=Year_Open_to_Traffic?, Calculations!H33&lt;Year_Open_to_Traffic?+'Inputs &amp; Outputs'!B$21), 1, 0)</f>
        <v>0</v>
      </c>
      <c r="M33" s="66">
        <f t="shared" si="11"/>
        <v>5.196675750876123E-3</v>
      </c>
      <c r="N33" s="72">
        <f t="shared" si="12"/>
        <v>0.86033120550550801</v>
      </c>
      <c r="O33" s="73">
        <f t="shared" si="7"/>
        <v>1</v>
      </c>
      <c r="P33" s="69">
        <f t="shared" si="8"/>
        <v>0</v>
      </c>
      <c r="Q33" s="70">
        <f t="shared" si="0"/>
        <v>0</v>
      </c>
      <c r="R33" s="71">
        <f t="shared" si="1"/>
        <v>34.282112367232457</v>
      </c>
      <c r="S33" s="78">
        <f t="shared" si="2"/>
        <v>0</v>
      </c>
      <c r="T33" s="65">
        <f t="shared" si="9"/>
        <v>0</v>
      </c>
      <c r="W33" s="59"/>
    </row>
    <row r="34" spans="8:23">
      <c r="H34" s="14">
        <f t="shared" si="3"/>
        <v>2048</v>
      </c>
      <c r="I34" s="80">
        <f t="shared" si="10"/>
        <v>24929.649209014871</v>
      </c>
      <c r="J34" s="50">
        <f t="shared" si="4"/>
        <v>4302857.453475967</v>
      </c>
      <c r="K34" s="50">
        <f>IF(H34=Year_Open_to_Traffic?,Calculations!$E$4,K33+(K33*M34))</f>
        <v>3491461.4765347866</v>
      </c>
      <c r="L34" s="50">
        <f>IF(AND(H34&gt;=Year_Open_to_Traffic?, Calculations!H34&lt;Year_Open_to_Traffic?+'Inputs &amp; Outputs'!B$21), 1, 0)</f>
        <v>0</v>
      </c>
      <c r="M34" s="66">
        <f t="shared" si="11"/>
        <v>5.196675750876123E-3</v>
      </c>
      <c r="N34" s="72">
        <f t="shared" si="12"/>
        <v>0.86480206781888047</v>
      </c>
      <c r="O34" s="73">
        <f t="shared" si="7"/>
        <v>1</v>
      </c>
      <c r="P34" s="69">
        <f t="shared" si="8"/>
        <v>0</v>
      </c>
      <c r="Q34" s="70">
        <f t="shared" si="0"/>
        <v>0</v>
      </c>
      <c r="R34" s="71">
        <f t="shared" si="1"/>
        <v>35.070600951678806</v>
      </c>
      <c r="S34" s="78">
        <f t="shared" si="2"/>
        <v>0</v>
      </c>
      <c r="T34" s="65">
        <f t="shared" si="9"/>
        <v>0</v>
      </c>
      <c r="W34" s="59"/>
    </row>
    <row r="35" spans="8:23">
      <c r="H35" s="14">
        <f t="shared" si="3"/>
        <v>2049</v>
      </c>
      <c r="I35" s="80">
        <f t="shared" si="10"/>
        <v>25059.200512537205</v>
      </c>
      <c r="J35" s="50">
        <f t="shared" si="4"/>
        <v>4325218.008463922</v>
      </c>
      <c r="K35" s="50">
        <f>IF(H35=Year_Open_to_Traffic?,Calculations!$E$4,K34+(K34*M35))</f>
        <v>3509605.4697250132</v>
      </c>
      <c r="L35" s="50">
        <f>IF(AND(H35&gt;=Year_Open_to_Traffic?, Calculations!H35&lt;Year_Open_to_Traffic?+'Inputs &amp; Outputs'!B$21), 1, 0)</f>
        <v>0</v>
      </c>
      <c r="M35" s="66">
        <f t="shared" si="11"/>
        <v>5.196675750876123E-3</v>
      </c>
      <c r="N35" s="72">
        <f t="shared" si="12"/>
        <v>0.86929616375402241</v>
      </c>
      <c r="O35" s="73">
        <f t="shared" si="7"/>
        <v>1</v>
      </c>
      <c r="P35" s="69">
        <f t="shared" si="8"/>
        <v>0</v>
      </c>
      <c r="Q35" s="70">
        <f t="shared" si="0"/>
        <v>0</v>
      </c>
      <c r="R35" s="71">
        <f t="shared" si="1"/>
        <v>35.877224773567399</v>
      </c>
      <c r="S35" s="78">
        <f t="shared" si="2"/>
        <v>0</v>
      </c>
      <c r="T35" s="65">
        <f t="shared" si="9"/>
        <v>0</v>
      </c>
      <c r="W35" s="59"/>
    </row>
    <row r="36" spans="8:23">
      <c r="H36" s="14">
        <f t="shared" si="3"/>
        <v>2050</v>
      </c>
      <c r="I36" s="80">
        <f t="shared" si="10"/>
        <v>25189.425052177048</v>
      </c>
      <c r="J36" s="50">
        <f t="shared" si="4"/>
        <v>4347694.7640057588</v>
      </c>
      <c r="K36" s="50">
        <f>IF(H36=Year_Open_to_Traffic?,Calculations!$E$4,K35+(K35*M36))</f>
        <v>3527843.7513646754</v>
      </c>
      <c r="L36" s="50">
        <f>IF(AND(H36&gt;=Year_Open_to_Traffic?, Calculations!H36&lt;Year_Open_to_Traffic?+'Inputs &amp; Outputs'!B$21), 1, 0)</f>
        <v>0</v>
      </c>
      <c r="M36" s="66">
        <f t="shared" si="11"/>
        <v>5.196675750876123E-3</v>
      </c>
      <c r="N36" s="72">
        <f t="shared" si="12"/>
        <v>0.87381361404853253</v>
      </c>
      <c r="O36" s="73">
        <f t="shared" si="7"/>
        <v>1</v>
      </c>
      <c r="P36" s="69">
        <f t="shared" si="8"/>
        <v>0</v>
      </c>
      <c r="Q36" s="70">
        <f t="shared" si="0"/>
        <v>0</v>
      </c>
      <c r="R36" s="71">
        <f t="shared" si="1"/>
        <v>36.702400943359457</v>
      </c>
      <c r="S36" s="78">
        <f t="shared" si="2"/>
        <v>0</v>
      </c>
      <c r="T36" s="65">
        <f t="shared" si="9"/>
        <v>0</v>
      </c>
      <c r="W36" s="59"/>
    </row>
    <row r="37" spans="8:23">
      <c r="H37" s="44"/>
      <c r="I37" s="44"/>
      <c r="J37" s="44"/>
      <c r="K37" s="44"/>
      <c r="L37" s="44"/>
      <c r="M37" s="61"/>
      <c r="N37" s="62"/>
      <c r="O37" s="44"/>
      <c r="P37" s="44"/>
      <c r="Q37" s="44"/>
      <c r="R37" s="44"/>
      <c r="S37" s="60"/>
      <c r="T37" s="65">
        <f>SUM(T4:T36)</f>
        <v>175291.93509974855</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2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2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55" t="s">
        <v>144</v>
      </c>
      <c r="C18" s="56">
        <v>14.2</v>
      </c>
      <c r="D18" s="57">
        <f>C18*(1+'Assumed Values'!$C$10)^(2018-2017)</f>
        <v>14.526599999999998</v>
      </c>
    </row>
    <row r="19" spans="2:4">
      <c r="B19" s="55" t="s">
        <v>145</v>
      </c>
      <c r="C19" s="56">
        <v>26.5</v>
      </c>
      <c r="D19" s="57">
        <f>C19*(1+'Assumed Values'!$C$10)^(2018-2017)</f>
        <v>27.109499999999997</v>
      </c>
    </row>
    <row r="20" spans="2:4">
      <c r="B20" s="55" t="s">
        <v>136</v>
      </c>
      <c r="C20" s="56">
        <v>28.6</v>
      </c>
      <c r="D20" s="57">
        <f>C20*(1+'Assumed Values'!$C$10)^(2018-2017)</f>
        <v>29.2578</v>
      </c>
    </row>
    <row r="21" spans="2:4">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5">
      <c r="B4" s="63" t="s">
        <v>149</v>
      </c>
      <c r="C4" s="63" t="s">
        <v>150</v>
      </c>
      <c r="D4" s="125" t="s">
        <v>151</v>
      </c>
      <c r="E4" s="63" t="s">
        <v>152</v>
      </c>
      <c r="F4" s="63" t="s">
        <v>153</v>
      </c>
      <c r="G4" s="91" t="s">
        <v>154</v>
      </c>
      <c r="H4" s="93"/>
      <c r="L4" s="63" t="s">
        <v>51</v>
      </c>
      <c r="N4" s="63" t="s">
        <v>155</v>
      </c>
    </row>
    <row r="5" spans="2:14">
      <c r="B5" s="74" t="s">
        <v>156</v>
      </c>
      <c r="C5" s="82">
        <v>0.1</v>
      </c>
      <c r="D5" s="75">
        <v>0.1</v>
      </c>
      <c r="E5" s="75">
        <v>7.0000000000000007E-2</v>
      </c>
      <c r="F5" s="75">
        <v>0.2</v>
      </c>
      <c r="G5" s="92">
        <v>0.15</v>
      </c>
      <c r="H5" s="94"/>
      <c r="L5" s="44" t="s">
        <v>157</v>
      </c>
      <c r="N5" s="44" t="s">
        <v>55</v>
      </c>
    </row>
    <row r="6" spans="2:14">
      <c r="B6" s="74" t="s">
        <v>73</v>
      </c>
      <c r="C6" s="82">
        <v>0.3</v>
      </c>
      <c r="D6" s="75">
        <v>0.2</v>
      </c>
      <c r="E6" s="75">
        <v>0.1</v>
      </c>
      <c r="F6" s="75">
        <v>0.3</v>
      </c>
      <c r="G6" s="92">
        <v>0.2</v>
      </c>
      <c r="H6" s="94"/>
      <c r="L6" s="44" t="s">
        <v>158</v>
      </c>
      <c r="N6" s="44" t="s">
        <v>124</v>
      </c>
    </row>
    <row r="7" spans="2:14">
      <c r="B7" s="74" t="s">
        <v>159</v>
      </c>
      <c r="C7" s="82">
        <v>0.3</v>
      </c>
      <c r="D7" s="75">
        <v>0.2</v>
      </c>
      <c r="E7" s="75">
        <v>0.15</v>
      </c>
      <c r="F7" s="75">
        <v>0.3</v>
      </c>
      <c r="G7" s="92">
        <v>0.25</v>
      </c>
      <c r="H7" s="94"/>
      <c r="L7" s="44" t="s">
        <v>160</v>
      </c>
    </row>
    <row r="8" spans="2:14">
      <c r="B8" s="74" t="s">
        <v>161</v>
      </c>
      <c r="C8" s="82">
        <v>0.2</v>
      </c>
      <c r="D8" s="75">
        <v>0.02</v>
      </c>
      <c r="E8" s="75">
        <v>0.02</v>
      </c>
      <c r="F8" s="75">
        <v>0.2</v>
      </c>
      <c r="G8" s="92">
        <v>0.15</v>
      </c>
      <c r="H8" s="94"/>
      <c r="L8" s="44" t="s">
        <v>162</v>
      </c>
    </row>
    <row r="9" spans="2:14">
      <c r="B9" s="74" t="s">
        <v>163</v>
      </c>
      <c r="C9" s="82">
        <v>0.2</v>
      </c>
      <c r="D9" s="75">
        <v>0.02</v>
      </c>
      <c r="E9" s="75">
        <v>0.02</v>
      </c>
      <c r="F9" s="75">
        <v>0.2</v>
      </c>
      <c r="G9" s="92">
        <v>0.15</v>
      </c>
      <c r="H9" s="94"/>
      <c r="L9" s="44" t="s">
        <v>52</v>
      </c>
    </row>
    <row r="10" spans="2:14">
      <c r="B10" s="74" t="s">
        <v>164</v>
      </c>
      <c r="C10" s="82">
        <v>0.3</v>
      </c>
      <c r="D10" s="75">
        <v>0.1</v>
      </c>
      <c r="E10" s="75">
        <v>0.1</v>
      </c>
      <c r="F10" s="75">
        <v>0.3</v>
      </c>
      <c r="G10" s="92">
        <v>0.22</v>
      </c>
      <c r="H10" s="94"/>
      <c r="L10" s="44" t="s">
        <v>165</v>
      </c>
    </row>
    <row r="11" spans="2:14">
      <c r="B11" s="74" t="s">
        <v>166</v>
      </c>
      <c r="C11" s="82">
        <v>0.4</v>
      </c>
      <c r="D11" s="75">
        <v>0.2</v>
      </c>
      <c r="E11" s="75">
        <v>0.12</v>
      </c>
      <c r="F11" s="75">
        <v>0.4</v>
      </c>
      <c r="G11" s="92">
        <v>0.3</v>
      </c>
      <c r="H11" s="94"/>
      <c r="L11" s="44" t="s">
        <v>167</v>
      </c>
    </row>
    <row r="12" spans="2:14">
      <c r="B12" s="74" t="s">
        <v>168</v>
      </c>
      <c r="C12" s="82">
        <v>0.2</v>
      </c>
      <c r="D12" s="75">
        <v>0.2</v>
      </c>
      <c r="E12" s="75">
        <v>0.12</v>
      </c>
      <c r="F12" s="75">
        <v>0.4</v>
      </c>
      <c r="G12" s="92">
        <v>0.3</v>
      </c>
      <c r="H12" s="94"/>
      <c r="L12" s="44" t="s">
        <v>169</v>
      </c>
    </row>
    <row r="13" spans="2:14">
      <c r="B13" s="74" t="s">
        <v>170</v>
      </c>
      <c r="C13" s="82">
        <v>0.2</v>
      </c>
      <c r="D13" s="75">
        <v>0.02</v>
      </c>
      <c r="E13" s="75">
        <v>0.02</v>
      </c>
      <c r="F13" s="75">
        <v>0.2</v>
      </c>
      <c r="G13" s="92">
        <v>0.1</v>
      </c>
      <c r="H13" s="94"/>
    </row>
    <row r="14" spans="2:14">
      <c r="B14" s="74" t="s">
        <v>171</v>
      </c>
      <c r="C14" s="82">
        <v>0.2</v>
      </c>
      <c r="D14" s="75">
        <v>0.1</v>
      </c>
      <c r="E14" s="75">
        <v>0.05</v>
      </c>
      <c r="F14" s="75">
        <v>0.2</v>
      </c>
      <c r="G14" s="75">
        <v>0.1</v>
      </c>
    </row>
    <row r="15" spans="2:14">
      <c r="B15" s="74" t="s">
        <v>172</v>
      </c>
      <c r="C15" s="82">
        <v>0.04</v>
      </c>
      <c r="D15" s="75">
        <v>0.01</v>
      </c>
      <c r="E15" s="75">
        <v>0.01</v>
      </c>
      <c r="F15" s="75">
        <v>0.04</v>
      </c>
      <c r="G15" s="75">
        <v>0.02</v>
      </c>
    </row>
    <row r="16" spans="2:14">
      <c r="B16" s="74" t="s">
        <v>173</v>
      </c>
      <c r="C16" s="82">
        <v>0.01</v>
      </c>
      <c r="D16" s="75">
        <v>0.01</v>
      </c>
      <c r="E16" s="75">
        <v>5.0000000000000001E-3</v>
      </c>
      <c r="F16" s="75">
        <v>0.01</v>
      </c>
      <c r="G16" s="75">
        <v>5.0000000000000001E-3</v>
      </c>
    </row>
    <row r="17" spans="2:7">
      <c r="B17" s="74" t="s">
        <v>174</v>
      </c>
      <c r="C17" s="82">
        <v>0.04</v>
      </c>
      <c r="D17" s="75">
        <v>0.02</v>
      </c>
      <c r="E17" s="75">
        <v>0.01</v>
      </c>
      <c r="F17" s="75">
        <v>0.04</v>
      </c>
      <c r="G17" s="75">
        <v>0.02</v>
      </c>
    </row>
    <row r="18" spans="2:7">
      <c r="B18" s="74" t="s">
        <v>175</v>
      </c>
      <c r="C18" s="82">
        <v>0.04</v>
      </c>
      <c r="D18" s="75">
        <v>0.02</v>
      </c>
      <c r="E18" s="75">
        <v>0.01</v>
      </c>
      <c r="F18" s="75">
        <v>0.04</v>
      </c>
      <c r="G18" s="75">
        <v>0.02</v>
      </c>
    </row>
    <row r="19" spans="2:7">
      <c r="B19" s="74" t="s">
        <v>176</v>
      </c>
      <c r="C19" s="82">
        <v>0.05</v>
      </c>
      <c r="D19" s="75">
        <v>0.05</v>
      </c>
      <c r="E19" s="75">
        <v>0.02</v>
      </c>
      <c r="F19" s="75">
        <v>0.01</v>
      </c>
      <c r="G19" s="75">
        <v>5.0000000000000001E-3</v>
      </c>
    </row>
    <row r="20" spans="2:7">
      <c r="B20" s="74" t="s">
        <v>177</v>
      </c>
      <c r="C20" s="82">
        <v>0.01</v>
      </c>
      <c r="D20" s="75">
        <v>0.01</v>
      </c>
      <c r="E20" s="75">
        <v>5.0000000000000001E-3</v>
      </c>
      <c r="F20" s="75">
        <v>0.01</v>
      </c>
      <c r="G20" s="75">
        <v>5.0000000000000001E-3</v>
      </c>
    </row>
    <row r="21" spans="2:7">
      <c r="B21" s="74" t="s">
        <v>178</v>
      </c>
      <c r="C21" s="82">
        <v>0.25</v>
      </c>
      <c r="D21" s="75">
        <v>0.1</v>
      </c>
      <c r="E21" s="75">
        <v>0.1</v>
      </c>
      <c r="F21" s="75">
        <v>0.25</v>
      </c>
      <c r="G21" s="75">
        <v>0.15</v>
      </c>
    </row>
    <row r="22" spans="2:7">
      <c r="B22" s="74" t="s">
        <v>179</v>
      </c>
      <c r="C22" s="82">
        <v>0.1</v>
      </c>
      <c r="D22" s="75">
        <v>0.1</v>
      </c>
      <c r="E22" s="75">
        <v>0.1</v>
      </c>
      <c r="F22" s="75">
        <v>0.15</v>
      </c>
      <c r="G22" s="75">
        <v>0.15</v>
      </c>
    </row>
    <row r="23" spans="2:7">
      <c r="B23" s="74" t="s">
        <v>180</v>
      </c>
      <c r="C23" s="82">
        <v>0.1</v>
      </c>
      <c r="D23" s="75">
        <v>0.05</v>
      </c>
      <c r="E23" s="75">
        <v>0.03</v>
      </c>
      <c r="F23" s="75">
        <v>0.1</v>
      </c>
      <c r="G23" s="75">
        <v>0.1</v>
      </c>
    </row>
    <row r="24" spans="2:7">
      <c r="B24" s="74" t="s">
        <v>181</v>
      </c>
      <c r="C24" s="82">
        <v>0.06</v>
      </c>
      <c r="D24" s="75">
        <v>0.03</v>
      </c>
      <c r="E24" s="75">
        <v>0.01</v>
      </c>
      <c r="F24" s="75">
        <v>0.06</v>
      </c>
      <c r="G24" s="75">
        <v>0.04</v>
      </c>
    </row>
    <row r="25" spans="2:7">
      <c r="B25" s="74" t="s">
        <v>182</v>
      </c>
      <c r="C25" s="82">
        <v>0.2</v>
      </c>
      <c r="D25" s="75">
        <v>0.1</v>
      </c>
      <c r="E25" s="75">
        <v>0.05</v>
      </c>
      <c r="F25" s="75">
        <v>0.2</v>
      </c>
      <c r="G25" s="75">
        <v>0.1</v>
      </c>
    </row>
    <row r="26" spans="2:7">
      <c r="B26" s="74" t="s">
        <v>183</v>
      </c>
      <c r="C26" s="82">
        <v>0.25</v>
      </c>
      <c r="D26" s="75">
        <v>0.1</v>
      </c>
      <c r="E26" s="75">
        <v>0.1</v>
      </c>
      <c r="F26" s="75">
        <v>0.25</v>
      </c>
      <c r="G26" s="75">
        <v>0.2</v>
      </c>
    </row>
    <row r="27" spans="2:7">
      <c r="B27" s="74" t="s">
        <v>184</v>
      </c>
      <c r="C27" s="82">
        <v>0.15</v>
      </c>
      <c r="D27" s="75">
        <v>0.1</v>
      </c>
      <c r="E27" s="75">
        <v>0.05</v>
      </c>
      <c r="F27" s="75">
        <v>0.15</v>
      </c>
      <c r="G27" s="75">
        <v>0.1</v>
      </c>
    </row>
    <row r="28" spans="2:7">
      <c r="B28" s="74" t="s">
        <v>185</v>
      </c>
      <c r="C28" s="82">
        <v>0.1</v>
      </c>
      <c r="D28" s="75">
        <v>0.05</v>
      </c>
      <c r="E28" s="75">
        <v>0.02</v>
      </c>
      <c r="F28" s="75">
        <v>0.1</v>
      </c>
      <c r="G28" s="75">
        <v>0.05</v>
      </c>
    </row>
    <row r="29" spans="2:7">
      <c r="B29" s="74" t="s">
        <v>186</v>
      </c>
      <c r="C29" s="82">
        <v>0.02</v>
      </c>
      <c r="D29" s="75">
        <v>0.02</v>
      </c>
      <c r="E29" s="75">
        <v>0.01</v>
      </c>
      <c r="F29" s="75">
        <v>0.02</v>
      </c>
      <c r="G29" s="75">
        <v>0.01</v>
      </c>
    </row>
    <row r="30" spans="2:7">
      <c r="B30" s="74" t="s">
        <v>187</v>
      </c>
      <c r="C30" s="82">
        <v>0.1</v>
      </c>
      <c r="D30" s="75">
        <v>0.05</v>
      </c>
      <c r="E30" s="75">
        <v>0.02</v>
      </c>
      <c r="F30" s="75">
        <v>0.1</v>
      </c>
      <c r="G30" s="75">
        <v>0.04</v>
      </c>
    </row>
    <row r="31" spans="2:7">
      <c r="B31" s="74" t="s">
        <v>188</v>
      </c>
      <c r="C31" s="82">
        <v>0.04</v>
      </c>
      <c r="D31" s="75">
        <v>0.02</v>
      </c>
      <c r="E31" s="75">
        <v>0.01</v>
      </c>
      <c r="F31" s="75">
        <v>0.04</v>
      </c>
      <c r="G31" s="75">
        <v>0.02</v>
      </c>
    </row>
    <row r="32" spans="2:7">
      <c r="B32" s="74" t="s">
        <v>189</v>
      </c>
      <c r="C32" s="82">
        <v>0.1</v>
      </c>
      <c r="D32" s="75">
        <v>0.02</v>
      </c>
      <c r="E32" s="75">
        <v>0.01</v>
      </c>
      <c r="F32" s="75">
        <v>0.1</v>
      </c>
      <c r="G32" s="75">
        <v>0.05</v>
      </c>
    </row>
    <row r="33" spans="2:7">
      <c r="B33" s="74" t="s">
        <v>190</v>
      </c>
      <c r="C33" s="82">
        <v>0.1</v>
      </c>
      <c r="D33" s="75">
        <v>0.04</v>
      </c>
      <c r="E33" s="75">
        <v>0.02</v>
      </c>
      <c r="F33" s="75">
        <v>0.1</v>
      </c>
      <c r="G33" s="75">
        <v>0.05</v>
      </c>
    </row>
    <row r="34" spans="2:7">
      <c r="B34" s="74" t="s">
        <v>191</v>
      </c>
      <c r="C34" s="82">
        <v>0.1</v>
      </c>
      <c r="D34" s="75">
        <v>0.02</v>
      </c>
      <c r="E34" s="75">
        <v>0.02</v>
      </c>
      <c r="F34" s="75">
        <v>0.1</v>
      </c>
      <c r="G34" s="75">
        <v>0.05</v>
      </c>
    </row>
    <row r="35" spans="2:7">
      <c r="B35" s="74" t="s">
        <v>192</v>
      </c>
      <c r="C35" s="82">
        <v>0.1</v>
      </c>
      <c r="D35" s="75">
        <v>0.02</v>
      </c>
      <c r="E35" s="75">
        <v>0.02</v>
      </c>
      <c r="F35" s="75">
        <v>0.1</v>
      </c>
      <c r="G35" s="75">
        <v>0.05</v>
      </c>
    </row>
    <row r="36" spans="2:7">
      <c r="B36" s="74" t="s">
        <v>193</v>
      </c>
      <c r="C36" s="82">
        <v>0.1</v>
      </c>
      <c r="D36" s="75">
        <v>0.04</v>
      </c>
      <c r="E36" s="75">
        <v>0.02</v>
      </c>
      <c r="F36" s="75">
        <v>0.1</v>
      </c>
      <c r="G36" s="75">
        <v>0.05</v>
      </c>
    </row>
    <row r="37" spans="2:7">
      <c r="B37" s="74" t="s">
        <v>194</v>
      </c>
      <c r="C37" s="82">
        <v>0.25</v>
      </c>
      <c r="D37" s="75">
        <v>0.1</v>
      </c>
      <c r="E37" s="75">
        <v>0.15</v>
      </c>
      <c r="F37" s="75">
        <v>0.3</v>
      </c>
      <c r="G37" s="75">
        <v>0.25</v>
      </c>
    </row>
    <row r="38" spans="2:7">
      <c r="B38" s="74" t="s">
        <v>195</v>
      </c>
      <c r="C38" s="82">
        <v>0.3</v>
      </c>
      <c r="D38" s="75">
        <v>0.1</v>
      </c>
      <c r="E38" s="75">
        <v>0.1</v>
      </c>
      <c r="F38" s="75">
        <v>0.3</v>
      </c>
      <c r="G38" s="75">
        <v>0.2</v>
      </c>
    </row>
    <row r="39" spans="2:7">
      <c r="B39" s="74" t="s">
        <v>196</v>
      </c>
      <c r="C39" s="82">
        <v>0.3</v>
      </c>
      <c r="D39" s="75">
        <v>0.2</v>
      </c>
      <c r="E39" s="75">
        <v>0.17</v>
      </c>
      <c r="F39" s="75">
        <v>0.3</v>
      </c>
      <c r="G39" s="75">
        <v>0.25</v>
      </c>
    </row>
    <row r="40" spans="2:7">
      <c r="B40" s="74" t="s">
        <v>197</v>
      </c>
      <c r="C40" s="82">
        <v>0.3</v>
      </c>
      <c r="D40" s="75">
        <v>0.2</v>
      </c>
      <c r="E40" s="75">
        <v>0.17</v>
      </c>
      <c r="F40" s="75">
        <v>0.3</v>
      </c>
      <c r="G40" s="75">
        <v>0.25</v>
      </c>
    </row>
    <row r="41" spans="2:7">
      <c r="B41" s="74" t="s">
        <v>198</v>
      </c>
      <c r="C41" s="82">
        <v>0.3</v>
      </c>
      <c r="D41" s="75">
        <v>0.15</v>
      </c>
      <c r="E41" s="75">
        <v>0.15</v>
      </c>
      <c r="F41" s="75">
        <v>0.3</v>
      </c>
      <c r="G41" s="75">
        <v>0.3</v>
      </c>
    </row>
    <row r="42" spans="2:7">
      <c r="B42" s="74" t="s">
        <v>199</v>
      </c>
      <c r="C42" s="82">
        <v>0.3</v>
      </c>
      <c r="D42" s="75">
        <v>0.1</v>
      </c>
      <c r="E42" s="75">
        <v>0.15</v>
      </c>
      <c r="F42" s="75">
        <v>0.3</v>
      </c>
      <c r="G42" s="75">
        <v>0.2</v>
      </c>
    </row>
    <row r="43" spans="2:7">
      <c r="B43" s="74" t="s">
        <v>200</v>
      </c>
      <c r="C43" s="82">
        <v>0.2</v>
      </c>
      <c r="D43" s="75">
        <v>0.1</v>
      </c>
      <c r="E43" s="75">
        <v>0.1</v>
      </c>
      <c r="F43" s="75">
        <v>0.2</v>
      </c>
      <c r="G43" s="75">
        <v>0.2</v>
      </c>
    </row>
    <row r="44" spans="2:7">
      <c r="B44" s="74" t="s">
        <v>201</v>
      </c>
      <c r="C44" s="82">
        <v>0.3</v>
      </c>
      <c r="D44" s="75">
        <v>0.2</v>
      </c>
      <c r="E44" s="75">
        <v>0.1</v>
      </c>
      <c r="F44" s="75">
        <v>0.3</v>
      </c>
      <c r="G44" s="75">
        <v>0.2</v>
      </c>
    </row>
    <row r="45" spans="2:7">
      <c r="B45" s="74" t="s">
        <v>202</v>
      </c>
      <c r="C45" s="82">
        <v>0.05</v>
      </c>
      <c r="D45" s="75">
        <v>0.02</v>
      </c>
      <c r="E45" s="75">
        <v>0.01</v>
      </c>
      <c r="F45" s="75">
        <v>0.05</v>
      </c>
      <c r="G45" s="75">
        <v>0.05</v>
      </c>
    </row>
    <row r="46" spans="2:7">
      <c r="B46" s="74" t="s">
        <v>203</v>
      </c>
      <c r="C46" s="82">
        <v>0.05</v>
      </c>
      <c r="D46" s="75">
        <v>0.02</v>
      </c>
      <c r="E46" s="75">
        <v>0.01</v>
      </c>
      <c r="F46" s="75">
        <v>0.05</v>
      </c>
      <c r="G46" s="75">
        <v>0.05</v>
      </c>
    </row>
    <row r="47" spans="2:7">
      <c r="B47" s="74" t="s">
        <v>204</v>
      </c>
      <c r="C47" s="82">
        <v>0.1</v>
      </c>
      <c r="D47" s="75">
        <v>0.04</v>
      </c>
      <c r="E47" s="75">
        <v>0.02</v>
      </c>
      <c r="F47" s="75">
        <v>0.1</v>
      </c>
      <c r="G47" s="75">
        <v>0.05</v>
      </c>
    </row>
    <row r="48" spans="2:7">
      <c r="B48" s="74" t="s">
        <v>205</v>
      </c>
      <c r="C48" s="82">
        <v>0.1</v>
      </c>
      <c r="D48" s="75">
        <v>0.03</v>
      </c>
      <c r="E48" s="75">
        <v>0.01</v>
      </c>
      <c r="F48" s="75">
        <v>0.1</v>
      </c>
      <c r="G48" s="75">
        <v>0.05</v>
      </c>
    </row>
    <row r="49" spans="2:7">
      <c r="B49" s="74" t="s">
        <v>206</v>
      </c>
      <c r="C49" s="82">
        <v>0.2</v>
      </c>
      <c r="D49" s="75">
        <v>0.1</v>
      </c>
      <c r="E49" s="75">
        <v>7.0000000000000007E-2</v>
      </c>
      <c r="F49" s="75">
        <v>0.2</v>
      </c>
      <c r="G49" s="75">
        <v>0.2</v>
      </c>
    </row>
    <row r="50" spans="2:7">
      <c r="B50" s="74" t="s">
        <v>207</v>
      </c>
      <c r="C50" s="82">
        <v>0.3</v>
      </c>
      <c r="D50" s="75">
        <v>0.15</v>
      </c>
      <c r="E50" s="75">
        <v>0.08</v>
      </c>
      <c r="F50" s="75">
        <v>0.3</v>
      </c>
      <c r="G50" s="75">
        <v>0.15</v>
      </c>
    </row>
    <row r="51" spans="2:7">
      <c r="B51" s="76" t="s">
        <v>208</v>
      </c>
      <c r="C51" s="82">
        <v>0.15</v>
      </c>
      <c r="D51" s="75">
        <v>0.05</v>
      </c>
      <c r="E51" s="75">
        <v>0.05</v>
      </c>
      <c r="F51" s="75">
        <v>0.15</v>
      </c>
      <c r="G51" s="75">
        <v>0.1</v>
      </c>
    </row>
    <row r="52" spans="2:7">
      <c r="B52" s="74" t="s">
        <v>209</v>
      </c>
      <c r="C52" s="82">
        <v>0.1</v>
      </c>
      <c r="D52" s="75">
        <v>0.05</v>
      </c>
      <c r="E52" s="75">
        <v>0.05</v>
      </c>
      <c r="F52" s="75">
        <v>0.1</v>
      </c>
      <c r="G52" s="75">
        <v>0.1</v>
      </c>
    </row>
    <row r="53" spans="2:7">
      <c r="B53" s="74" t="s">
        <v>210</v>
      </c>
      <c r="C53" s="82">
        <v>0.75</v>
      </c>
      <c r="D53" s="75">
        <v>0.4</v>
      </c>
      <c r="E53" s="75">
        <v>0.25</v>
      </c>
      <c r="F53" s="75">
        <v>0.75</v>
      </c>
      <c r="G53" s="75">
        <v>0.4</v>
      </c>
    </row>
    <row r="54" spans="2:7">
      <c r="B54" s="74" t="s">
        <v>211</v>
      </c>
      <c r="C54" s="82">
        <v>0.3</v>
      </c>
      <c r="D54" s="75">
        <v>0.2</v>
      </c>
      <c r="E54" s="75">
        <v>0.1</v>
      </c>
      <c r="F54" s="75">
        <v>0.3</v>
      </c>
      <c r="G54" s="75">
        <v>0.2</v>
      </c>
    </row>
    <row r="55" spans="2:7">
      <c r="B55" s="74" t="s">
        <v>212</v>
      </c>
      <c r="C55" s="82">
        <v>0.25</v>
      </c>
      <c r="D55" s="75">
        <v>0.1</v>
      </c>
      <c r="E55" s="75">
        <v>0.1</v>
      </c>
      <c r="F55" s="75">
        <v>0.25</v>
      </c>
      <c r="G55" s="75">
        <v>0.2</v>
      </c>
    </row>
    <row r="56" spans="2:7">
      <c r="B56" s="74" t="s">
        <v>213</v>
      </c>
      <c r="C56" s="82">
        <v>0.15</v>
      </c>
      <c r="D56" s="75">
        <v>0.1</v>
      </c>
      <c r="E56" s="75">
        <v>0.1</v>
      </c>
      <c r="F56" s="75">
        <v>0.15</v>
      </c>
      <c r="G56" s="75">
        <v>0.15</v>
      </c>
    </row>
    <row r="57" spans="2:7">
      <c r="B57" s="74" t="s">
        <v>214</v>
      </c>
      <c r="C57" s="82">
        <v>0.3</v>
      </c>
      <c r="D57" s="75">
        <v>0.15</v>
      </c>
      <c r="E57" s="75">
        <v>0.15</v>
      </c>
      <c r="F57" s="75">
        <v>0.3</v>
      </c>
      <c r="G57" s="75">
        <v>0.2</v>
      </c>
    </row>
    <row r="58" spans="2:7">
      <c r="B58" s="74" t="s">
        <v>215</v>
      </c>
      <c r="C58" s="82">
        <v>0.1</v>
      </c>
      <c r="D58" s="75">
        <v>0.05</v>
      </c>
      <c r="E58" s="75">
        <v>0.02</v>
      </c>
      <c r="F58" s="75">
        <v>0.1</v>
      </c>
      <c r="G58" s="75">
        <v>0.05</v>
      </c>
    </row>
    <row r="59" spans="2:7">
      <c r="B59" s="74" t="s">
        <v>216</v>
      </c>
      <c r="C59" s="82">
        <v>0.02</v>
      </c>
      <c r="D59" s="75">
        <v>0.02</v>
      </c>
      <c r="E59" s="75">
        <v>0.01</v>
      </c>
      <c r="F59" s="75">
        <v>0.03</v>
      </c>
      <c r="G59" s="75">
        <v>0.03</v>
      </c>
    </row>
    <row r="60" spans="2:7">
      <c r="B60" s="74" t="s">
        <v>217</v>
      </c>
      <c r="C60" s="82">
        <v>0.2</v>
      </c>
      <c r="D60" s="75">
        <v>0.1</v>
      </c>
      <c r="E60" s="75">
        <v>0.05</v>
      </c>
      <c r="F60" s="75">
        <v>0.2</v>
      </c>
      <c r="G60" s="75">
        <v>0.1</v>
      </c>
    </row>
    <row r="61" spans="2:7">
      <c r="B61" s="74" t="s">
        <v>218</v>
      </c>
      <c r="C61" s="82">
        <v>0.2</v>
      </c>
      <c r="D61" s="75">
        <v>0.1</v>
      </c>
      <c r="E61" s="75">
        <v>0.05</v>
      </c>
      <c r="F61" s="75">
        <v>0.2</v>
      </c>
      <c r="G61" s="75">
        <v>0.1</v>
      </c>
    </row>
    <row r="62" spans="2:7">
      <c r="B62" s="74" t="s">
        <v>219</v>
      </c>
      <c r="C62" s="82">
        <v>0.08</v>
      </c>
      <c r="D62" s="75">
        <v>0.04</v>
      </c>
      <c r="E62" s="75">
        <v>0.02</v>
      </c>
      <c r="F62" s="75">
        <v>0.08</v>
      </c>
      <c r="G62" s="75">
        <v>0.03</v>
      </c>
    </row>
    <row r="63" spans="2:7">
      <c r="B63" s="74" t="s">
        <v>220</v>
      </c>
      <c r="C63" s="82">
        <v>0.08</v>
      </c>
      <c r="D63" s="75">
        <v>0.04</v>
      </c>
      <c r="E63" s="75">
        <v>0.02</v>
      </c>
      <c r="F63" s="75">
        <v>0.08</v>
      </c>
      <c r="G63" s="75">
        <v>0.03</v>
      </c>
    </row>
    <row r="64" spans="2:7">
      <c r="B64" s="74" t="s">
        <v>221</v>
      </c>
      <c r="C64" s="82">
        <v>0.01</v>
      </c>
      <c r="D64" s="75">
        <v>0.01</v>
      </c>
      <c r="E64" s="75">
        <v>0.01</v>
      </c>
      <c r="F64" s="75">
        <v>0.01</v>
      </c>
      <c r="G64" s="75">
        <v>0.01</v>
      </c>
    </row>
    <row r="65" spans="2:7">
      <c r="B65" s="74" t="s">
        <v>222</v>
      </c>
      <c r="C65" s="82">
        <v>0.01</v>
      </c>
      <c r="D65" s="75">
        <v>0.01</v>
      </c>
      <c r="E65" s="75">
        <v>0.01</v>
      </c>
      <c r="F65" s="75">
        <v>0.01</v>
      </c>
      <c r="G65" s="75">
        <v>0.01</v>
      </c>
    </row>
    <row r="66" spans="2:7">
      <c r="B66" s="74" t="s">
        <v>223</v>
      </c>
      <c r="C66" s="82">
        <v>0.01</v>
      </c>
      <c r="D66" s="75">
        <v>0.01</v>
      </c>
      <c r="E66" s="75">
        <v>5.0000000000000001E-3</v>
      </c>
      <c r="F66" s="75">
        <v>0.01</v>
      </c>
      <c r="G66" s="75">
        <v>5.0000000000000001E-3</v>
      </c>
    </row>
    <row r="67" spans="2:7">
      <c r="B67" s="74" t="s">
        <v>224</v>
      </c>
      <c r="C67" s="82">
        <v>0.01</v>
      </c>
      <c r="D67" s="75">
        <v>0.01</v>
      </c>
      <c r="E67" s="75">
        <v>5.0000000000000001E-3</v>
      </c>
      <c r="F67" s="75">
        <v>0.01</v>
      </c>
      <c r="G67" s="75">
        <v>5.0000000000000001E-3</v>
      </c>
    </row>
    <row r="68" spans="2:7">
      <c r="B68" s="74" t="s">
        <v>225</v>
      </c>
      <c r="C68" s="82">
        <v>0.04</v>
      </c>
      <c r="D68" s="75">
        <v>0.02</v>
      </c>
      <c r="E68" s="75">
        <v>0.01</v>
      </c>
      <c r="F68" s="75">
        <v>0.04</v>
      </c>
      <c r="G68" s="75">
        <v>0.02</v>
      </c>
    </row>
    <row r="69" spans="2:7">
      <c r="B69" s="74" t="s">
        <v>226</v>
      </c>
      <c r="C69" s="82">
        <v>0.02</v>
      </c>
      <c r="D69" s="75">
        <v>0.02</v>
      </c>
      <c r="E69" s="75">
        <v>0.01</v>
      </c>
      <c r="F69" s="75">
        <v>0.02</v>
      </c>
      <c r="G69" s="75">
        <v>0.01</v>
      </c>
    </row>
    <row r="70" spans="2:7">
      <c r="B70" s="74" t="s">
        <v>227</v>
      </c>
      <c r="C70" s="82">
        <v>0.08</v>
      </c>
      <c r="D70" s="75">
        <v>0.05</v>
      </c>
      <c r="E70" s="75">
        <v>0.02</v>
      </c>
      <c r="F70" s="75">
        <v>0.08</v>
      </c>
      <c r="G70" s="75">
        <v>0.03</v>
      </c>
    </row>
    <row r="71" spans="2:7">
      <c r="B71" s="74" t="s">
        <v>228</v>
      </c>
      <c r="C71" s="82">
        <v>0.05</v>
      </c>
      <c r="D71" s="75">
        <v>0.03</v>
      </c>
      <c r="E71" s="75">
        <v>0.02</v>
      </c>
      <c r="F71" s="75">
        <v>0.05</v>
      </c>
      <c r="G71" s="75">
        <v>0.03</v>
      </c>
    </row>
    <row r="72" spans="2:7">
      <c r="B72" s="74" t="s">
        <v>229</v>
      </c>
      <c r="C72" s="82">
        <v>0.08</v>
      </c>
      <c r="D72" s="75">
        <v>0.04</v>
      </c>
      <c r="E72" s="75">
        <v>0.02</v>
      </c>
      <c r="F72" s="75">
        <v>0.08</v>
      </c>
      <c r="G72" s="75">
        <v>0.03</v>
      </c>
    </row>
    <row r="73" spans="2:7">
      <c r="B73" s="74" t="s">
        <v>230</v>
      </c>
      <c r="C73" s="82">
        <v>0.05</v>
      </c>
      <c r="D73" s="75">
        <v>0.02</v>
      </c>
      <c r="E73" s="75">
        <v>0.01</v>
      </c>
      <c r="F73" s="75">
        <v>0.05</v>
      </c>
      <c r="G73" s="75">
        <v>0.03</v>
      </c>
    </row>
    <row r="74" spans="2:7">
      <c r="B74" s="74" t="s">
        <v>231</v>
      </c>
      <c r="C74" s="82">
        <v>0.05</v>
      </c>
      <c r="D74" s="75">
        <v>0.02</v>
      </c>
      <c r="E74" s="75">
        <v>0.01</v>
      </c>
      <c r="F74" s="75">
        <v>0.05</v>
      </c>
      <c r="G74" s="75">
        <v>0.03</v>
      </c>
    </row>
    <row r="75" spans="2:7">
      <c r="B75" s="74" t="s">
        <v>232</v>
      </c>
      <c r="C75" s="82">
        <v>0.15</v>
      </c>
      <c r="D75" s="75">
        <v>0.08</v>
      </c>
      <c r="E75" s="75">
        <v>0.04</v>
      </c>
      <c r="F75" s="75">
        <v>0.15</v>
      </c>
      <c r="G75" s="75">
        <v>0.1</v>
      </c>
    </row>
    <row r="76" spans="2:7">
      <c r="B76" s="74" t="s">
        <v>233</v>
      </c>
      <c r="C76" s="82">
        <v>0.15</v>
      </c>
      <c r="D76" s="75">
        <v>0.08</v>
      </c>
      <c r="E76" s="75">
        <v>0.04</v>
      </c>
      <c r="F76" s="75">
        <v>0.15</v>
      </c>
      <c r="G76" s="75">
        <v>0.1</v>
      </c>
    </row>
    <row r="77" spans="2:7">
      <c r="B77" s="74" t="s">
        <v>234</v>
      </c>
      <c r="C77" s="82">
        <v>0.15</v>
      </c>
      <c r="D77" s="75">
        <v>0.08</v>
      </c>
      <c r="E77" s="75">
        <v>0.04</v>
      </c>
      <c r="F77" s="75">
        <v>0.15</v>
      </c>
      <c r="G77" s="75">
        <v>0.08</v>
      </c>
    </row>
    <row r="78" spans="2:7">
      <c r="B78" s="74" t="s">
        <v>235</v>
      </c>
      <c r="C78" s="82">
        <v>0.05</v>
      </c>
      <c r="D78" s="75">
        <v>0.04</v>
      </c>
      <c r="E78" s="75">
        <v>0.02</v>
      </c>
      <c r="F78" s="75">
        <v>0.05</v>
      </c>
      <c r="G78" s="75">
        <v>0.03</v>
      </c>
    </row>
    <row r="79" spans="2:7">
      <c r="B79" s="74" t="s">
        <v>236</v>
      </c>
      <c r="C79" s="82">
        <v>0.05</v>
      </c>
      <c r="D79" s="75">
        <v>0.04</v>
      </c>
      <c r="E79" s="75">
        <v>0.02</v>
      </c>
      <c r="F79" s="75">
        <v>0.05</v>
      </c>
      <c r="G79" s="75">
        <v>0.03</v>
      </c>
    </row>
    <row r="80" spans="2:7">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E918AD-1F0F-4845-9CDF-91A9BC965A1D}"/>
</file>

<file path=customXml/itemProps2.xml><?xml version="1.0" encoding="utf-8"?>
<ds:datastoreItem xmlns:ds="http://schemas.openxmlformats.org/officeDocument/2006/customXml" ds:itemID="{0283BA95-858A-4DFC-BE12-3F7F9340A504}"/>
</file>

<file path=customXml/itemProps3.xml><?xml version="1.0" encoding="utf-8"?>
<ds:datastoreItem xmlns:ds="http://schemas.openxmlformats.org/officeDocument/2006/customXml" ds:itemID="{F6055D16-E42E-4E02-ADB3-DBFE49BF3AB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