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32" documentId="8_{C2B404C3-F57B-4052-9752-4FB85EC82912}" xr6:coauthVersionLast="40" xr6:coauthVersionMax="40" xr10:uidLastSave="{9A8E5070-E3F1-43F0-A224-A497D630F00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<sst xmlns="http://schemas.openxmlformats.org/spreadsheetml/2006/main" count="441" uniqueCount="286">
  <si>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</si>
  <si>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</si>
  <si>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</si>
  <si>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</si>
  <si>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</si>
  <si>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</si>
  <si>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</si>
  <si>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</si>
  <si>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</si>
  <si>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</si>
  <si>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</si>
  <si>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</si>
  <si>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</si>
  <si>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</si>
  <si>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</si>
  <si>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</si>
  <si>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</si>
  <si>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</si>
  <si>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</si>
  <si>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</si>
  <si>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</si>
  <si>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</si>
  <si>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</si>
  <si>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</si>
  <si>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</si>
  <si>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</si>
  <si>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</si>
  <si>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</si>
  <si>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</si>
  <si>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</si>
  <si>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</si>
  <si>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</si>
  <si>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</si>
  <si>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</si>
  <si>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</si>
  <si>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</si>
  <si>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</si>
  <si>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</si>
  <si>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</si>
  <si>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</si>
  <si>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</si>
  <si>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</si>
  <si>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</si>
  <si>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</si>
  <si>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</si>
  <si>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</si>
  <si>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</si>
  <si>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</si>
  <si>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249 Access Management</t>
  </si>
  <si>
    <t>County</t>
  </si>
  <si>
    <t>Harris</t>
  </si>
  <si>
    <t>Data entered by the sponsors</t>
  </si>
  <si>
    <t>Facility Type</t>
  </si>
  <si>
    <t xml:space="preserve">Freeway </t>
  </si>
  <si>
    <t>HGAC regional travel demand model data provided by HGAC upon request</t>
  </si>
  <si>
    <t>Street Name:</t>
  </si>
  <si>
    <t>SH 249</t>
  </si>
  <si>
    <t>Populated based on selection in cell "C18"</t>
  </si>
  <si>
    <t>Limits (From)</t>
  </si>
  <si>
    <t>BW 8</t>
  </si>
  <si>
    <t>Benefits calculated by the template</t>
  </si>
  <si>
    <t>Limits (To)</t>
  </si>
  <si>
    <t>IH 45 N</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</si>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</sst>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ht="30">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7.2</v>
      </c>
      <c r="D12" s="80"/>
      <c r="N12" s="133"/>
      <c r="O12" s="133"/>
      <c r="P12" s="133"/>
      <c r="Q12" s="133"/>
      <c r="R12" s="133"/>
      <c r="S12" s="133"/>
    </row>
    <row r="13" spans="2:19">
      <c r="B13" s="3" t="s">
        <v>64</v>
      </c>
      <c r="C13" s="98">
        <v>228</v>
      </c>
      <c r="D13" s="54"/>
    </row>
    <row r="14" spans="2:19">
      <c r="B14" s="3" t="s">
        <v>65</v>
      </c>
      <c r="C14" s="98" t="s">
        <v>66</v>
      </c>
      <c r="D14" s="54"/>
      <c r="G14" s="91"/>
    </row>
    <row r="15" spans="2:19">
      <c r="C15" s="54"/>
      <c r="D15" s="54"/>
    </row>
    <row r="16" spans="2:19">
      <c r="B16" s="5" t="s">
        <v>67</v>
      </c>
    </row>
    <row r="17" spans="2:13">
      <c r="B17" s="3" t="s">
        <v>68</v>
      </c>
      <c r="C17" s="98">
        <v>2024</v>
      </c>
      <c r="D17" s="81"/>
    </row>
    <row r="18" spans="2:13">
      <c r="B18" s="3" t="s">
        <v>69</v>
      </c>
      <c r="C18" s="99" t="s">
        <v>70</v>
      </c>
    </row>
    <row r="19" spans="2:13">
      <c r="B19" s="100" t="s">
        <v>71</v>
      </c>
      <c r="C19" s="129">
        <f>VLOOKUP(C18,'CRF Lookup Table'!C3:F84,2, FALSE)</f>
        <v>203</v>
      </c>
      <c r="D19" s="82"/>
    </row>
    <row r="20" spans="2:13">
      <c r="B20" s="100" t="s">
        <v>72</v>
      </c>
      <c r="C20" s="130">
        <f>VLOOKUP(C18,'CRF Lookup Table'!C3:F84,3, FALSE)</f>
        <v>0.4</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55856</v>
      </c>
      <c r="D25" s="83"/>
      <c r="I25" s="42"/>
    </row>
    <row r="26" spans="2:13">
      <c r="I26" s="42"/>
    </row>
    <row r="27" spans="2:13">
      <c r="B27" s="74" t="s">
        <v>76</v>
      </c>
      <c r="C27" s="75">
        <v>28598</v>
      </c>
      <c r="D27" s="83"/>
      <c r="I27" s="42"/>
    </row>
    <row r="28" spans="2:13">
      <c r="B28" s="74" t="s">
        <v>77</v>
      </c>
      <c r="C28" s="75">
        <v>42788</v>
      </c>
      <c r="D28" s="83"/>
      <c r="I28" s="42"/>
    </row>
    <row r="29" spans="2:13">
      <c r="B29" s="74" t="s">
        <v>78</v>
      </c>
      <c r="C29" s="76">
        <v>29806</v>
      </c>
      <c r="D29" s="59"/>
      <c r="I29" s="42"/>
    </row>
    <row r="30" spans="2:13">
      <c r="B30" s="74" t="s">
        <v>79</v>
      </c>
      <c r="C30" s="76">
        <v>42790</v>
      </c>
      <c r="D30" s="59"/>
      <c r="I30" s="42"/>
    </row>
    <row r="31" spans="2:13">
      <c r="B31" s="74" t="s">
        <v>80</v>
      </c>
      <c r="C31" s="75">
        <v>35265</v>
      </c>
      <c r="D31" s="83"/>
      <c r="H31" s="60"/>
    </row>
    <row r="32" spans="2:13">
      <c r="B32" s="74" t="s">
        <v>81</v>
      </c>
      <c r="C32" s="75">
        <v>42790</v>
      </c>
      <c r="D32" s="83"/>
    </row>
    <row r="34" spans="2:9" ht="18.75">
      <c r="B34" s="44" t="s">
        <v>82</v>
      </c>
      <c r="C34" s="45"/>
      <c r="D34" s="45"/>
      <c r="E34" s="45"/>
      <c r="F34" s="45"/>
      <c r="I34" s="60"/>
    </row>
    <row r="36" spans="2:9">
      <c r="B36" s="9" t="s">
        <v>83</v>
      </c>
    </row>
    <row r="37" spans="2:9">
      <c r="B37" s="8" t="s">
        <v>84</v>
      </c>
      <c r="C37" s="35">
        <f>Calculations!U37</f>
        <v>84428.119178088222</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57872.33489272595</v>
      </c>
      <c r="G4" s="136" t="s">
        <v>95</v>
      </c>
      <c r="H4" s="136"/>
      <c r="I4" s="136"/>
      <c r="J4" s="136"/>
      <c r="L4" s="107"/>
      <c r="M4" s="108">
        <v>2018</v>
      </c>
      <c r="N4" s="109">
        <f>_2018_Volume_ADT</f>
        <v>55856</v>
      </c>
      <c r="O4" s="110" t="s">
        <v>96</v>
      </c>
      <c r="P4" s="111">
        <f>MIN(B12,1)</f>
        <v>0.6683649621389175</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20</v>
      </c>
      <c r="D5" s="105" t="s">
        <v>98</v>
      </c>
      <c r="E5" s="106">
        <f>$E$4*'Inputs &amp; Outputs'!$C$12</f>
        <v>416680.81122762687</v>
      </c>
      <c r="G5" s="137" t="s">
        <v>99</v>
      </c>
      <c r="H5" s="137"/>
      <c r="I5" s="137"/>
      <c r="J5" s="112">
        <f>SUMPRODUCT(Possible_Crash_Reductions,'Value of Statistical Life'!E5:E11)</f>
        <v>10523281.027065992</v>
      </c>
      <c r="L5" s="107"/>
      <c r="M5" s="11">
        <f t="shared" ref="M5:M36" si="1">M4+1</f>
        <v>2019</v>
      </c>
      <c r="N5" s="113">
        <f>N4+(N4*O5)</f>
        <v>56187.109876546492</v>
      </c>
      <c r="O5" s="114">
        <f t="shared" ref="O5:O11" si="2">IF(ISERROR(_2025_2045_Demand_Growth),_2018_2045_Demand_Growth,_2018_2025_Demand_Growth)</f>
        <v>5.9279195887012026E-3</v>
      </c>
      <c r="P5" s="115">
        <f t="shared" ref="P5:P11" si="3">P4*(1+IFERROR(_2018_2025_V_C_Growth,_2018_2045_V_C_Growth))</f>
        <v>0.67232248658751514</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108337010.91918299</v>
      </c>
      <c r="L6" s="107"/>
      <c r="M6" s="108">
        <f t="shared" si="1"/>
        <v>2020</v>
      </c>
      <c r="N6" s="113">
        <f t="shared" ref="N6:N36" si="6">N5+(N5*O6)</f>
        <v>56520.182545816177</v>
      </c>
      <c r="O6" s="114">
        <f t="shared" si="2"/>
        <v>5.9279195887012026E-3</v>
      </c>
      <c r="P6" s="115">
        <f t="shared" si="3"/>
        <v>0.67630344434074197</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56855.229643086488</v>
      </c>
      <c r="O7" s="114">
        <f t="shared" si="2"/>
        <v>5.9279195887012026E-3</v>
      </c>
      <c r="P7" s="115">
        <f t="shared" si="3"/>
        <v>0.68030797415194555</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57192.262872607847</v>
      </c>
      <c r="O8" s="114">
        <f t="shared" si="2"/>
        <v>5.9279195887012026E-3</v>
      </c>
      <c r="P8" s="115">
        <f t="shared" si="3"/>
        <v>0.68433621559606039</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5.9279195887012026E-3</v>
      </c>
      <c r="D9" s="40" t="s">
        <v>104</v>
      </c>
      <c r="E9" s="120">
        <f>IF('Inputs &amp; Outputs'!$C$8='CRASH RATES'!$D$3, VLOOKUP('Inputs &amp; Outputs'!$C$7,'CRASH RATES'!$C$14:$J$21,3,FALSE), VLOOKUP('Inputs &amp; Outputs'!$C$7,'CRASH RATES'!$C$28:$J$35,3,FALSE))</f>
        <v>0.90708688014883054</v>
      </c>
      <c r="F9" s="86"/>
      <c r="L9" s="107"/>
      <c r="M9" s="11">
        <f t="shared" si="1"/>
        <v>2023</v>
      </c>
      <c r="N9" s="113">
        <f t="shared" si="6"/>
        <v>57531.294008012526</v>
      </c>
      <c r="O9" s="114">
        <f t="shared" si="2"/>
        <v>5.9279195887012026E-3</v>
      </c>
      <c r="P9" s="115">
        <f t="shared" si="3"/>
        <v>0.68838830907447235</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8.4445182376731154E-3</v>
      </c>
      <c r="D10" s="40" t="s">
        <v>106</v>
      </c>
      <c r="E10" s="120">
        <f>IF('Inputs &amp; Outputs'!$C$8='CRASH RATES'!$D$3, VLOOKUP('Inputs &amp; Outputs'!$C$7,'CRASH RATES'!$C$14:$J$21,4,FALSE), VLOOKUP('Inputs &amp; Outputs'!$C$7,'CRASH RATES'!$C$28:$J$35,4,FALSE))</f>
        <v>3.6345604444319584</v>
      </c>
      <c r="F10" s="86"/>
      <c r="L10" s="107"/>
      <c r="M10" s="108">
        <f t="shared" si="1"/>
        <v>2024</v>
      </c>
      <c r="N10" s="113">
        <f t="shared" si="6"/>
        <v>57872.33489272595</v>
      </c>
      <c r="O10" s="114">
        <f t="shared" si="2"/>
        <v>5.9279195887012026E-3</v>
      </c>
      <c r="P10" s="115">
        <f t="shared" si="3"/>
        <v>0.69246439581991248</v>
      </c>
      <c r="Q10" s="116">
        <f t="shared" si="4"/>
        <v>1</v>
      </c>
      <c r="R10" s="31">
        <f>IF(M10=Year_Open_to_Traffic?,Calculations!$J$5,Calculations!R9+(Calculations!R9*Calculations!O10*Q10))</f>
        <v>10523281.027065992</v>
      </c>
      <c r="S10" s="46">
        <f t="shared" si="0"/>
        <v>1</v>
      </c>
      <c r="T10" s="31">
        <f t="shared" si="5"/>
        <v>10523.281027065992</v>
      </c>
      <c r="U10" s="32">
        <f>T10/(1+Real_Discount_Rate)^(Calculations!M10-'Assumed Values'!$C$5)</f>
        <v>7012.1064814212668</v>
      </c>
    </row>
    <row r="11" spans="1:21" ht="15.75">
      <c r="A11" s="40" t="s">
        <v>107</v>
      </c>
      <c r="B11" s="119">
        <f>(_2045_Peak_Period_Volume/'Inputs &amp; Outputs'!$C$27)^(1/(2045-2018))-1</f>
        <v>7.7914628209598824E-3</v>
      </c>
      <c r="D11" s="40" t="s">
        <v>108</v>
      </c>
      <c r="E11" s="120">
        <f>IF('Inputs &amp; Outputs'!$C$8='CRASH RATES'!$D$3, VLOOKUP('Inputs &amp; Outputs'!$C$7,'CRASH RATES'!$C$14:$J$21,5,FALSE), VLOOKUP('Inputs &amp; Outputs'!$C$7,'CRASH RATES'!$C$28:$J$35,5,FALSE))</f>
        <v>19.334618979610692</v>
      </c>
      <c r="F11" s="86"/>
      <c r="L11" s="107"/>
      <c r="M11" s="11">
        <f t="shared" si="1"/>
        <v>2025</v>
      </c>
      <c r="N11" s="113">
        <f t="shared" si="6"/>
        <v>58215.397440380417</v>
      </c>
      <c r="O11" s="114">
        <f t="shared" si="2"/>
        <v>5.9279195887012026E-3</v>
      </c>
      <c r="P11" s="115">
        <f t="shared" si="3"/>
        <v>0.69656461790137925</v>
      </c>
      <c r="Q11" s="116">
        <f t="shared" si="4"/>
        <v>1</v>
      </c>
      <c r="R11" s="31">
        <f>IF(M11=Year_Open_to_Traffic?,Calculations!$J$5,Calculations!R10+(Calculations!R10*Calculations!O11*Q11))</f>
        <v>10585662.190803744</v>
      </c>
      <c r="S11" s="46">
        <f t="shared" si="0"/>
        <v>1</v>
      </c>
      <c r="T11" s="31">
        <f t="shared" si="5"/>
        <v>10585.662190803743</v>
      </c>
      <c r="U11" s="32">
        <f>T11/(1+Real_Discount_Rate)^(Calculations!M11-'Assumed Values'!$C$5)</f>
        <v>6592.2183970005062</v>
      </c>
    </row>
    <row r="12" spans="1:21" ht="15.75">
      <c r="A12" s="40" t="s">
        <v>109</v>
      </c>
      <c r="B12" s="121">
        <f>'Inputs &amp; Outputs'!C27/_2018_Peak_Period_Capacity</f>
        <v>0.6683649621389175</v>
      </c>
      <c r="D12" s="40" t="s">
        <v>110</v>
      </c>
      <c r="E12" s="120">
        <f>IF('Inputs &amp; Outputs'!$C$8='CRASH RATES'!$D$3, VLOOKUP('Inputs &amp; Outputs'!$C$7,'CRASH RATES'!$C$14:$J$21,6,FALSE), VLOOKUP('Inputs &amp; Outputs'!$C$7,'CRASH RATES'!$C$28:$J$35,6,FALSE))</f>
        <v>53.611319786330533</v>
      </c>
      <c r="F12" s="86"/>
      <c r="L12" s="107"/>
      <c r="M12" s="108">
        <f t="shared" si="1"/>
        <v>2026</v>
      </c>
      <c r="N12" s="113">
        <f t="shared" si="6"/>
        <v>58706.9984257791</v>
      </c>
      <c r="O12" s="114">
        <f t="shared" ref="O12:O36" si="7">IFERROR(_2025_2045_Demand_Growth,_2018_2045_Demand_Growth)</f>
        <v>8.4445182376731154E-3</v>
      </c>
      <c r="P12" s="115">
        <f t="shared" ref="P12:P36" si="8">P11*(1+IFERROR(_2025_2040_V_C_Growth,_2018_2045_V_C_Growth))</f>
        <v>0.70244677052096527</v>
      </c>
      <c r="Q12" s="116">
        <f t="shared" si="4"/>
        <v>1</v>
      </c>
      <c r="R12" s="31">
        <f>IF(M12=Year_Open_to_Traffic?,Calculations!$J$5,Calculations!R11+(Calculations!R11*Calculations!O12*Q12))</f>
        <v>10675053.008231834</v>
      </c>
      <c r="S12" s="46">
        <f t="shared" si="0"/>
        <v>1</v>
      </c>
      <c r="T12" s="31">
        <f t="shared" si="5"/>
        <v>10675.053008231833</v>
      </c>
      <c r="U12" s="32">
        <f>T12/(1+Real_Discount_Rate)^(Calculations!M12-'Assumed Values'!$C$5)</f>
        <v>6212.9780425053286</v>
      </c>
    </row>
    <row r="13" spans="1:21" ht="15.75">
      <c r="A13" s="40" t="s">
        <v>111</v>
      </c>
      <c r="B13" s="121">
        <f>_2025_Peak_Period_Volume/_2025_Peak_Period_Capacity</f>
        <v>0.6965646179013788</v>
      </c>
      <c r="D13" s="40" t="s">
        <v>112</v>
      </c>
      <c r="E13" s="120">
        <f>IF('Inputs &amp; Outputs'!$C$8='CRASH RATES'!$D$3, VLOOKUP('Inputs &amp; Outputs'!$C$7,'CRASH RATES'!$C$14:$J$21,7,FALSE), VLOOKUP('Inputs &amp; Outputs'!$C$7,'CRASH RATES'!$C$28:$J$35,7,FALSE))</f>
        <v>404.81547842368047</v>
      </c>
      <c r="F13" s="86"/>
      <c r="L13" s="107"/>
      <c r="M13" s="11">
        <f t="shared" si="1"/>
        <v>2027</v>
      </c>
      <c r="N13" s="113">
        <f t="shared" si="6"/>
        <v>59202.750744664641</v>
      </c>
      <c r="O13" s="114">
        <f t="shared" si="7"/>
        <v>8.4445182376731154E-3</v>
      </c>
      <c r="P13" s="115">
        <f t="shared" si="8"/>
        <v>0.70837859508562417</v>
      </c>
      <c r="Q13" s="116">
        <f t="shared" si="4"/>
        <v>1</v>
      </c>
      <c r="R13" s="31">
        <f>IF(M13=Year_Open_to_Traffic?,Calculations!$J$5,Calculations!R12+(Calculations!R12*Calculations!O13*Q13))</f>
        <v>10765198.688047975</v>
      </c>
      <c r="S13" s="46">
        <f t="shared" si="0"/>
        <v>1</v>
      </c>
      <c r="T13" s="31">
        <f t="shared" si="5"/>
        <v>10765.198688047974</v>
      </c>
      <c r="U13" s="32">
        <f>T13/(1+Real_Discount_Rate)^(Calculations!M13-'Assumed Values'!$C$5)</f>
        <v>5855.5548120518952</v>
      </c>
    </row>
    <row r="14" spans="1:21" ht="15.75">
      <c r="A14" s="40" t="s">
        <v>113</v>
      </c>
      <c r="B14" s="121">
        <f>_2045_Peak_Period_Volume/_2045_Peak_Period_Capacity</f>
        <v>0.82414115447534475</v>
      </c>
      <c r="D14" s="40" t="s">
        <v>114</v>
      </c>
      <c r="E14" s="120">
        <f>IF('Inputs &amp; Outputs'!$C$8='CRASH RATES'!$D$3, VLOOKUP('Inputs &amp; Outputs'!$C$7,'CRASH RATES'!$C$14:$J$21,8,FALSE), VLOOKUP('Inputs &amp; Outputs'!$C$7,'CRASH RATES'!$C$28:$J$35,8,FALSE))</f>
        <v>37.824280317438905</v>
      </c>
      <c r="F14" s="86"/>
      <c r="L14" s="107"/>
      <c r="M14" s="108">
        <f>M13+1</f>
        <v>2028</v>
      </c>
      <c r="N14" s="113">
        <f t="shared" si="6"/>
        <v>59702.689453048377</v>
      </c>
      <c r="O14" s="114">
        <f t="shared" si="7"/>
        <v>8.4445182376731154E-3</v>
      </c>
      <c r="P14" s="115">
        <f>P13*(1+IFERROR(_2025_2040_V_C_Growth,_2018_2045_V_C_Growth))</f>
        <v>0.71436051105100196</v>
      </c>
      <c r="Q14" s="116">
        <f t="shared" si="4"/>
        <v>1</v>
      </c>
      <c r="R14" s="31">
        <f>IF(M14=Year_Open_to_Traffic?,Calculations!$J$5,Calculations!R13+(Calculations!R13*Calculations!O14*Q14))</f>
        <v>10856105.604701372</v>
      </c>
      <c r="S14" s="46">
        <f t="shared" si="0"/>
        <v>1</v>
      </c>
      <c r="T14" s="31">
        <f t="shared" si="5"/>
        <v>10856.105604701372</v>
      </c>
      <c r="U14" s="32">
        <f>T14/(1+Real_Discount_Rate)^(Calculations!M14-'Assumed Values'!$C$5)</f>
        <v>5518.6935994896849</v>
      </c>
    </row>
    <row r="15" spans="1:21" ht="15.75">
      <c r="A15" s="40" t="s">
        <v>115</v>
      </c>
      <c r="B15" s="119">
        <f>(B13/B12)^(1/(2025-2018))-1</f>
        <v>5.9212027451778226E-3</v>
      </c>
      <c r="L15" s="107"/>
      <c r="M15" s="11">
        <f>M14+1</f>
        <v>2029</v>
      </c>
      <c r="N15" s="113">
        <f t="shared" si="6"/>
        <v>60206.849902972775</v>
      </c>
      <c r="O15" s="114">
        <f t="shared" si="7"/>
        <v>8.4445182376731154E-3</v>
      </c>
      <c r="P15" s="115">
        <f>P14*(1+IFERROR(_2025_2040_V_C_Growth,_2018_2045_V_C_Growth))</f>
        <v>0.72039294141484567</v>
      </c>
      <c r="Q15" s="116">
        <f t="shared" si="4"/>
        <v>1</v>
      </c>
      <c r="R15" s="31">
        <f>IF(M15=Year_Open_to_Traffic?,Calculations!$J$5,Calculations!R14+(Calculations!R14*Calculations!O15*Q15))</f>
        <v>10947780.186470378</v>
      </c>
      <c r="S15" s="46">
        <f t="shared" si="0"/>
        <v>1</v>
      </c>
      <c r="T15" s="31">
        <f t="shared" si="5"/>
        <v>10947.780186470378</v>
      </c>
      <c r="U15" s="32">
        <f>T15/(1+Real_Discount_Rate)^(Calculations!M15-'Assumed Values'!$C$5)</f>
        <v>5201.2115030268269</v>
      </c>
    </row>
    <row r="16" spans="1:21" ht="15.75">
      <c r="A16" s="40" t="s">
        <v>116</v>
      </c>
      <c r="B16" s="119">
        <f>(B14/B13)^(1/(2045-2025))-1</f>
        <v>8.4445182376731154E-3</v>
      </c>
      <c r="D16" s="122" t="s">
        <v>117</v>
      </c>
      <c r="E16" s="58"/>
      <c r="L16" s="107"/>
      <c r="M16" s="108">
        <f t="shared" si="1"/>
        <v>2030</v>
      </c>
      <c r="N16" s="113">
        <f t="shared" si="6"/>
        <v>60715.267745011275</v>
      </c>
      <c r="O16" s="114">
        <f t="shared" si="7"/>
        <v>8.4445182376731154E-3</v>
      </c>
      <c r="P16" s="115">
        <f t="shared" si="8"/>
        <v>0.72647631274691427</v>
      </c>
      <c r="Q16" s="116">
        <f t="shared" si="4"/>
        <v>1</v>
      </c>
      <c r="R16" s="31">
        <f>IF(M16=Year_Open_to_Traffic?,Calculations!$J$5,Calculations!R15+(Calculations!R15*Calculations!O16*Q16))</f>
        <v>11040228.915917063</v>
      </c>
      <c r="S16" s="46">
        <f t="shared" si="0"/>
        <v>1</v>
      </c>
      <c r="T16" s="31">
        <f t="shared" si="5"/>
        <v>11040.228915917063</v>
      </c>
      <c r="U16" s="32">
        <f>T16/(1+Real_Discount_Rate)^(Calculations!M16-'Assumed Values'!$C$5)</f>
        <v>4901.9936714225541</v>
      </c>
    </row>
    <row r="17" spans="1:21" ht="15.75">
      <c r="A17" s="40" t="s">
        <v>118</v>
      </c>
      <c r="B17" s="119">
        <f>(B14/B12)^(1/(2045-2018))-1</f>
        <v>7.7897181867112586E-3</v>
      </c>
      <c r="D17" s="40" t="s">
        <v>119</v>
      </c>
      <c r="E17" s="123">
        <f>($E$6*Death_Rate)/100000000</f>
        <v>0.98271081239331481</v>
      </c>
      <c r="L17" s="107"/>
      <c r="M17" s="11">
        <f t="shared" si="1"/>
        <v>2031</v>
      </c>
      <c r="N17" s="113">
        <f t="shared" si="6"/>
        <v>61227.978930789228</v>
      </c>
      <c r="O17" s="114">
        <f t="shared" si="7"/>
        <v>8.4445182376731154E-3</v>
      </c>
      <c r="P17" s="115">
        <f t="shared" si="8"/>
        <v>0.73261105521914305</v>
      </c>
      <c r="Q17" s="116">
        <f t="shared" si="4"/>
        <v>1</v>
      </c>
      <c r="R17" s="31">
        <f>IF(M17=Year_Open_to_Traffic?,Calculations!$J$5,Calculations!R16+(Calculations!R16*Calculations!O17*Q17))</f>
        <v>11133458.33034561</v>
      </c>
      <c r="S17" s="46">
        <f t="shared" si="0"/>
        <v>1</v>
      </c>
      <c r="T17" s="31">
        <f t="shared" si="5"/>
        <v>11133.458330345609</v>
      </c>
      <c r="U17" s="32">
        <f>T17/(1+Real_Discount_Rate)^(Calculations!M17-'Assumed Values'!$C$5)</f>
        <v>4619.989389141906</v>
      </c>
    </row>
    <row r="18" spans="1:21" ht="15.75">
      <c r="D18" s="40" t="s">
        <v>120</v>
      </c>
      <c r="E18" s="123">
        <f>($E$6*Incap_Injry_Rate)/100000000</f>
        <v>3.9375741455485564</v>
      </c>
      <c r="L18" s="107"/>
      <c r="M18" s="108">
        <f t="shared" si="1"/>
        <v>2032</v>
      </c>
      <c r="N18" s="113">
        <f t="shared" si="6"/>
        <v>61745.019715526141</v>
      </c>
      <c r="O18" s="114">
        <f t="shared" si="7"/>
        <v>8.4445182376731154E-3</v>
      </c>
      <c r="P18" s="115">
        <f t="shared" si="8"/>
        <v>0.73879760263606209</v>
      </c>
      <c r="Q18" s="116">
        <f t="shared" si="4"/>
        <v>1</v>
      </c>
      <c r="R18" s="31">
        <f>IF(M18=Year_Open_to_Traffic?,Calculations!$J$5,Calculations!R17+(Calculations!R17*Calculations!O18*Q18))</f>
        <v>11227475.022264587</v>
      </c>
      <c r="S18" s="46">
        <f t="shared" si="0"/>
        <v>1</v>
      </c>
      <c r="T18" s="31">
        <f t="shared" si="5"/>
        <v>11227.475022264587</v>
      </c>
      <c r="U18" s="32">
        <f>T18/(1+Real_Discount_Rate)^(Calculations!M18-'Assumed Values'!$C$5)</f>
        <v>4354.2083867255806</v>
      </c>
    </row>
    <row r="19" spans="1:21" ht="15.75">
      <c r="D19" s="40" t="s">
        <v>121</v>
      </c>
      <c r="E19" s="123">
        <f>($E$6*Nonincap_Injry_Rate)/100000000</f>
        <v>20.946548275123263</v>
      </c>
      <c r="L19" s="107"/>
      <c r="M19" s="11">
        <f t="shared" si="1"/>
        <v>2033</v>
      </c>
      <c r="N19" s="113">
        <f t="shared" si="6"/>
        <v>62266.426660599391</v>
      </c>
      <c r="O19" s="114">
        <f t="shared" si="7"/>
        <v>8.4445182376731154E-3</v>
      </c>
      <c r="P19" s="115">
        <f t="shared" si="8"/>
        <v>0.74503639246547149</v>
      </c>
      <c r="Q19" s="116">
        <f t="shared" si="4"/>
        <v>1</v>
      </c>
      <c r="R19" s="31">
        <f>IF(M19=Year_Open_to_Traffic?,Calculations!$J$5,Calculations!R18+(Calculations!R18*Calculations!O19*Q19))</f>
        <v>11322285.63985312</v>
      </c>
      <c r="S19" s="46">
        <f t="shared" si="0"/>
        <v>1</v>
      </c>
      <c r="T19" s="31">
        <f t="shared" si="5"/>
        <v>11322.28563985312</v>
      </c>
      <c r="U19" s="32">
        <f>T19/(1+Real_Discount_Rate)^(Calculations!M19-'Assumed Values'!$C$5)</f>
        <v>4103.7173634186111</v>
      </c>
    </row>
    <row r="20" spans="1:21" ht="15.75">
      <c r="D20" s="40" t="s">
        <v>122</v>
      </c>
      <c r="E20" s="123">
        <f>($E$6*Poss_Injry_Rate/100000000)</f>
        <v>58.080901370835015</v>
      </c>
      <c r="L20" s="107"/>
      <c r="M20" s="108">
        <f t="shared" si="1"/>
        <v>2034</v>
      </c>
      <c r="N20" s="113">
        <f t="shared" si="6"/>
        <v>62792.236636129557</v>
      </c>
      <c r="O20" s="114">
        <f t="shared" si="7"/>
        <v>8.4445182376731154E-3</v>
      </c>
      <c r="P20" s="115">
        <f t="shared" si="8"/>
        <v>0.75132786586937639</v>
      </c>
      <c r="Q20" s="116">
        <f t="shared" si="4"/>
        <v>1</v>
      </c>
      <c r="R20" s="31">
        <f>IF(M20=Year_Open_to_Traffic?,Calculations!$J$5,Calculations!R19+(Calculations!R19*Calculations!O20*Q20))</f>
        <v>11417896.887431003</v>
      </c>
      <c r="S20" s="46">
        <f t="shared" si="0"/>
        <v>1</v>
      </c>
      <c r="T20" s="31">
        <f t="shared" si="5"/>
        <v>11417.896887431003</v>
      </c>
      <c r="U20" s="32">
        <f>T20/(1+Real_Discount_Rate)^(Calculations!M20-'Assumed Values'!$C$5)</f>
        <v>3867.6367098469677</v>
      </c>
    </row>
    <row r="21" spans="1:21" ht="15.75">
      <c r="D21" s="40" t="s">
        <v>123</v>
      </c>
      <c r="E21" s="123">
        <f>($E$6*Non_Injry_Rate)/100000000</f>
        <v>438.56498906240557</v>
      </c>
      <c r="L21" s="107"/>
      <c r="M21" s="11">
        <f>M20+1</f>
        <v>2035</v>
      </c>
      <c r="N21" s="113">
        <f t="shared" si="6"/>
        <v>63322.486823587642</v>
      </c>
      <c r="O21" s="114">
        <f t="shared" si="7"/>
        <v>8.4445182376731154E-3</v>
      </c>
      <c r="P21" s="115">
        <f>P20*(1+IFERROR(_2025_2040_V_C_Growth,_2018_2045_V_C_Growth))</f>
        <v>0.75767246773518238</v>
      </c>
      <c r="Q21" s="116">
        <f t="shared" si="4"/>
        <v>1</v>
      </c>
      <c r="R21" s="31">
        <f>IF(M21=Year_Open_to_Traffic?,Calculations!$J$5,Calculations!R20+(Calculations!R20*Calculations!O21*Q21))</f>
        <v>11514315.525932785</v>
      </c>
      <c r="S21" s="46">
        <f t="shared" si="0"/>
        <v>1</v>
      </c>
      <c r="T21" s="31">
        <f t="shared" si="5"/>
        <v>11514.315525932785</v>
      </c>
      <c r="U21" s="32">
        <f>T21/(1+Real_Discount_Rate)^(Calculations!M21-'Assumed Values'!$C$5)</f>
        <v>3645.1374192336116</v>
      </c>
    </row>
    <row r="22" spans="1:21" ht="15.75">
      <c r="D22" s="40" t="s">
        <v>124</v>
      </c>
      <c r="E22" s="123">
        <f>($E$6*Unkn_Injry_Rate)/100000000</f>
        <v>40.977694697606168</v>
      </c>
      <c r="L22" s="107"/>
      <c r="M22" s="108">
        <f>M21+1</f>
        <v>2036</v>
      </c>
      <c r="N22" s="113">
        <f t="shared" si="6"/>
        <v>63857.214718424242</v>
      </c>
      <c r="O22" s="114">
        <f t="shared" si="7"/>
        <v>8.4445182376731154E-3</v>
      </c>
      <c r="P22" s="115">
        <f t="shared" si="8"/>
        <v>0.76407064670715497</v>
      </c>
      <c r="Q22" s="116">
        <f t="shared" si="4"/>
        <v>1</v>
      </c>
      <c r="R22" s="31">
        <f>IF(M22=Year_Open_to_Traffic?,Calculations!$J$5,Calculations!R21+(Calculations!R21*Calculations!O22*Q22))</f>
        <v>11611548.373385847</v>
      </c>
      <c r="S22" s="46">
        <f t="shared" si="0"/>
        <v>1</v>
      </c>
      <c r="T22" s="31">
        <f t="shared" si="5"/>
        <v>11611.548373385847</v>
      </c>
      <c r="U22" s="32">
        <f>T22/(1+Real_Discount_Rate)^(Calculations!M22-'Assumed Values'!$C$5)</f>
        <v>3435.4381763076208</v>
      </c>
    </row>
    <row r="23" spans="1:21" ht="15.75">
      <c r="L23" s="107"/>
      <c r="M23" s="11">
        <f t="shared" si="1"/>
        <v>2037</v>
      </c>
      <c r="N23" s="113">
        <f t="shared" si="6"/>
        <v>64396.458132720982</v>
      </c>
      <c r="O23" s="114">
        <f t="shared" si="7"/>
        <v>8.4445182376731154E-3</v>
      </c>
      <c r="P23" s="115">
        <f t="shared" si="8"/>
        <v>0.77052285521814423</v>
      </c>
      <c r="Q23" s="116">
        <f t="shared" si="4"/>
        <v>1</v>
      </c>
      <c r="R23" s="31">
        <f>IF(M23=Year_Open_to_Traffic?,Calculations!$J$5,Calculations!R22+(Calculations!R22*Calculations!O23*Q23))</f>
        <v>11709602.305392526</v>
      </c>
      <c r="S23" s="46">
        <f t="shared" si="0"/>
        <v>1</v>
      </c>
      <c r="T23" s="31">
        <f t="shared" si="5"/>
        <v>11709.602305392526</v>
      </c>
      <c r="U23" s="32">
        <f>T23/(1+Real_Discount_Rate)^(Calculations!M23-'Assumed Values'!$C$5)</f>
        <v>3237.8026136839703</v>
      </c>
    </row>
    <row r="24" spans="1:21" ht="15.75">
      <c r="L24" s="107"/>
      <c r="M24" s="108">
        <f t="shared" si="1"/>
        <v>2038</v>
      </c>
      <c r="N24" s="113">
        <f t="shared" si="6"/>
        <v>64940.255197864295</v>
      </c>
      <c r="O24" s="114">
        <f t="shared" si="7"/>
        <v>8.4445182376731154E-3</v>
      </c>
      <c r="P24" s="115">
        <f t="shared" si="8"/>
        <v>0.77702954952157777</v>
      </c>
      <c r="Q24" s="116">
        <f t="shared" si="4"/>
        <v>1</v>
      </c>
      <c r="R24" s="31">
        <f>IF(M24=Year_Open_to_Traffic?,Calculations!$J$5,Calculations!R23+(Calculations!R23*Calculations!O24*Q24))</f>
        <v>11808484.255616313</v>
      </c>
      <c r="S24" s="46">
        <f t="shared" si="0"/>
        <v>1</v>
      </c>
      <c r="T24" s="31">
        <f t="shared" si="5"/>
        <v>11808.484255616313</v>
      </c>
      <c r="U24" s="32">
        <f>T24/(1+Real_Discount_Rate)^(Calculations!M24-'Assumed Values'!$C$5)</f>
        <v>3051.5367260796361</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65488.64436724181</v>
      </c>
      <c r="O25" s="114">
        <f t="shared" si="7"/>
        <v>8.4445182376731154E-3</v>
      </c>
      <c r="P25" s="115">
        <f t="shared" si="8"/>
        <v>0.78359118972372366</v>
      </c>
      <c r="Q25" s="116">
        <f t="shared" si="4"/>
        <v>1</v>
      </c>
      <c r="R25" s="31">
        <f>IF(M25=Year_Open_to_Traffic?,Calculations!$J$5,Calculations!R24+(Calculations!R24*Calculations!O25*Q25))</f>
        <v>11908201.21627214</v>
      </c>
      <c r="S25" s="46">
        <f t="shared" si="0"/>
        <v>1</v>
      </c>
      <c r="T25" s="31">
        <f t="shared" si="5"/>
        <v>11908.20121627214</v>
      </c>
      <c r="U25" s="32">
        <f>T25/(1+Real_Discount_Rate)^(Calculations!M25-'Assumed Values'!$C$5)</f>
        <v>2875.9864332859297</v>
      </c>
    </row>
    <row r="26" spans="1:21" ht="15.75">
      <c r="A26" s="134"/>
      <c r="B26" s="134"/>
      <c r="D26" s="124">
        <f>Calculations!E17</f>
        <v>0.98271081239331481</v>
      </c>
      <c r="E26" s="124">
        <f>Calculations!E18</f>
        <v>3.9375741455485564</v>
      </c>
      <c r="F26" s="124">
        <f>Calculations!E19</f>
        <v>20.946548275123263</v>
      </c>
      <c r="G26" s="124">
        <f>Calculations!E20</f>
        <v>58.080901370835015</v>
      </c>
      <c r="H26" s="124">
        <f>Calculations!E21</f>
        <v>438.56498906240557</v>
      </c>
      <c r="I26" s="124">
        <f>Calculations!E22</f>
        <v>40.977694697606168</v>
      </c>
      <c r="J26" s="135"/>
      <c r="L26" s="107"/>
      <c r="M26" s="108">
        <f t="shared" si="1"/>
        <v>2040</v>
      </c>
      <c r="N26" s="113">
        <f t="shared" si="6"/>
        <v>66041.664418961474</v>
      </c>
      <c r="O26" s="114">
        <f t="shared" si="7"/>
        <v>8.4445182376731154E-3</v>
      </c>
      <c r="P26" s="115">
        <f t="shared" si="8"/>
        <v>0.79020823981622557</v>
      </c>
      <c r="Q26" s="116">
        <f t="shared" si="4"/>
        <v>1</v>
      </c>
      <c r="R26" s="31">
        <f>IF(M26=Year_Open_to_Traffic?,Calculations!$J$5,Calculations!R25+(Calculations!R25*Calculations!O26*Q26))</f>
        <v>12008760.238620831</v>
      </c>
      <c r="S26" s="46">
        <f t="shared" si="0"/>
        <v>1</v>
      </c>
      <c r="T26" s="31">
        <f t="shared" si="5"/>
        <v>12008.760238620831</v>
      </c>
      <c r="U26" s="32">
        <f>T26/(1+Real_Discount_Rate)^(Calculations!M26-'Assumed Values'!$C$5)</f>
        <v>2710.5352833393581</v>
      </c>
    </row>
    <row r="27" spans="1:21" ht="15.75">
      <c r="A27" s="39" t="s">
        <v>127</v>
      </c>
      <c r="B27" s="40" t="s">
        <v>128</v>
      </c>
      <c r="D27" s="125">
        <f>D$26*'Value of Statistical Life'!D17*Appropriate_Crash_Reduction_Factor</f>
        <v>0</v>
      </c>
      <c r="E27" s="125">
        <f>E$26*'Value of Statistical Life'!E17*Appropriate_Crash_Reduction_Factor</f>
        <v>5.413376935300155E-2</v>
      </c>
      <c r="F27" s="125">
        <f>F$26*'Value of Statistical Life'!F17*Appropriate_Crash_Reduction_Factor</f>
        <v>0.69936335380981562</v>
      </c>
      <c r="G27" s="125">
        <f>G$26*'Value of Statistical Life'!G17*Appropriate_Crash_Reduction_Factor</f>
        <v>5.4449683417130412</v>
      </c>
      <c r="H27" s="125">
        <f>H$26*'Value of Statistical Life'!H17*Appropriate_Crash_Reduction_Factor</f>
        <v>162.32869079160255</v>
      </c>
      <c r="I27" s="125">
        <f>I$26*'Value of Statistical Life'!I17*Appropriate_Crash_Reduction_Factor</f>
        <v>7.1589671744505878</v>
      </c>
      <c r="J27" s="125">
        <f t="shared" ref="J27:J33" si="9">SUM(D27:I27)</f>
        <v>175.686123430929</v>
      </c>
      <c r="K27" s="70"/>
      <c r="L27" s="107"/>
      <c r="M27" s="11">
        <f t="shared" si="1"/>
        <v>2041</v>
      </c>
      <c r="N27" s="113">
        <f t="shared" si="6"/>
        <v>66599.354458593676</v>
      </c>
      <c r="O27" s="114">
        <f t="shared" si="7"/>
        <v>8.4445182376731154E-3</v>
      </c>
      <c r="P27" s="115">
        <f t="shared" si="8"/>
        <v>0.79688116770891326</v>
      </c>
      <c r="Q27" s="116">
        <f t="shared" si="4"/>
        <v>1</v>
      </c>
      <c r="R27" s="31">
        <f>IF(M27=Year_Open_to_Traffic?,Calculations!$J$5,Calculations!R26+(Calculations!R26*Calculations!O27*Q27))</f>
        <v>12110168.433467709</v>
      </c>
      <c r="S27" s="46">
        <f t="shared" si="0"/>
        <v>1</v>
      </c>
      <c r="T27" s="31">
        <f t="shared" si="5"/>
        <v>12110.168433467708</v>
      </c>
      <c r="U27" s="32">
        <f>T27/(1+Real_Discount_Rate)^(Calculations!M27-'Assumed Values'!$C$5)</f>
        <v>2554.6022878255826</v>
      </c>
    </row>
    <row r="28" spans="1:21" ht="15.75">
      <c r="A28" s="39" t="s">
        <v>129</v>
      </c>
      <c r="B28" s="40" t="s">
        <v>130</v>
      </c>
      <c r="D28" s="125">
        <f>D$26*'Value of Statistical Life'!D18*Appropriate_Crash_Reduction_Factor</f>
        <v>0</v>
      </c>
      <c r="E28" s="125">
        <f>E$26*'Value of Statistical Life'!E18*Appropriate_Crash_Reduction_Factor</f>
        <v>0.8733381951860878</v>
      </c>
      <c r="F28" s="125">
        <f>F$26*'Value of Statistical Life'!F18*Appropriate_Crash_Reduction_Factor</f>
        <v>6.4383824364211879</v>
      </c>
      <c r="G28" s="125">
        <f>G$26*'Value of Statistical Life'!G18*Appropriate_Crash_Reduction_Factor</f>
        <v>16.017783303654365</v>
      </c>
      <c r="H28" s="125">
        <f>H$26*'Value of Statistical Life'!H18*Appropriate_Crash_Reduction_Factor</f>
        <v>12.730664502503508</v>
      </c>
      <c r="I28" s="125">
        <f>I$26*'Value of Statistical Life'!I18*Appropriate_Crash_Reduction_Factor</f>
        <v>6.8414719959335359</v>
      </c>
      <c r="J28" s="125">
        <f t="shared" si="9"/>
        <v>42.901640433698688</v>
      </c>
      <c r="K28" s="70"/>
      <c r="L28" s="107"/>
      <c r="M28" s="108">
        <f t="shared" si="1"/>
        <v>2042</v>
      </c>
      <c r="N28" s="113">
        <f t="shared" si="6"/>
        <v>67161.753921936528</v>
      </c>
      <c r="O28" s="114">
        <f t="shared" si="7"/>
        <v>8.4445182376731154E-3</v>
      </c>
      <c r="P28" s="115">
        <f t="shared" si="8"/>
        <v>0.80361044526288938</v>
      </c>
      <c r="Q28" s="116">
        <f t="shared" si="4"/>
        <v>1</v>
      </c>
      <c r="R28" s="31">
        <f>IF(M28=Year_Open_to_Traffic?,Calculations!$J$5,Calculations!R27+(Calculations!R27*Calculations!O28*Q28))</f>
        <v>12212432.97166542</v>
      </c>
      <c r="S28" s="46">
        <f t="shared" si="0"/>
        <v>1</v>
      </c>
      <c r="T28" s="31">
        <f t="shared" si="5"/>
        <v>12212.432971665419</v>
      </c>
      <c r="U28" s="32">
        <f>T28/(1+Real_Discount_Rate)^(Calculations!M28-'Assumed Values'!$C$5)</f>
        <v>2407.6398817150721</v>
      </c>
    </row>
    <row r="29" spans="1:21" ht="15.75">
      <c r="A29" s="39" t="s">
        <v>131</v>
      </c>
      <c r="B29" s="40" t="s">
        <v>132</v>
      </c>
      <c r="D29" s="125">
        <f>D$26*'Value of Statistical Life'!D19*Appropriate_Crash_Reduction_Factor</f>
        <v>0</v>
      </c>
      <c r="E29" s="125">
        <f>E$26*'Value of Statistical Life'!E19*Appropriate_Crash_Reduction_Factor</f>
        <v>0.32930720094051691</v>
      </c>
      <c r="F29" s="125">
        <f>F$26*'Value of Statistical Life'!F19*Appropriate_Crash_Reduction_Factor</f>
        <v>0.91310193240917314</v>
      </c>
      <c r="G29" s="125">
        <f>G$26*'Value of Statistical Life'!G19*Appropriate_Crash_Reduction_Factor</f>
        <v>1.4847801626440262</v>
      </c>
      <c r="H29" s="125">
        <f>H$26*'Value of Statistical Life'!H19*Appropriate_Crash_Reduction_Factor</f>
        <v>0.34734347133742527</v>
      </c>
      <c r="I29" s="125">
        <f>I$26*'Value of Statistical Life'!I19*Appropriate_Crash_Reduction_Factor</f>
        <v>1.4542164294286477</v>
      </c>
      <c r="J29" s="125">
        <f t="shared" si="9"/>
        <v>4.5287491967597893</v>
      </c>
      <c r="K29" s="70"/>
      <c r="L29" s="107"/>
      <c r="M29" s="11">
        <f t="shared" si="1"/>
        <v>2043</v>
      </c>
      <c r="N29" s="113">
        <f t="shared" si="6"/>
        <v>67728.902577804431</v>
      </c>
      <c r="O29" s="114">
        <f t="shared" si="7"/>
        <v>8.4445182376731154E-3</v>
      </c>
      <c r="P29" s="115">
        <f t="shared" si="8"/>
        <v>0.81039654832389652</v>
      </c>
      <c r="Q29" s="116">
        <f t="shared" si="4"/>
        <v>1</v>
      </c>
      <c r="R29" s="31">
        <f>IF(M29=Year_Open_to_Traffic?,Calculations!$J$5,Calculations!R28+(Calculations!R28*Calculations!O29*Q29))</f>
        <v>12315561.084621008</v>
      </c>
      <c r="S29" s="46">
        <f t="shared" si="0"/>
        <v>1</v>
      </c>
      <c r="T29" s="31">
        <f t="shared" si="5"/>
        <v>12315.561084621009</v>
      </c>
      <c r="U29" s="32">
        <f>T29/(1+Real_Discount_Rate)^(Calculations!M29-'Assumed Values'!$C$5)</f>
        <v>2269.1320005663215</v>
      </c>
    </row>
    <row r="30" spans="1:21" ht="15.75">
      <c r="A30" s="39" t="s">
        <v>133</v>
      </c>
      <c r="B30" s="40" t="s">
        <v>134</v>
      </c>
      <c r="D30" s="125">
        <f>D$26*'Value of Statistical Life'!D20*Appropriate_Crash_Reduction_Factor</f>
        <v>0</v>
      </c>
      <c r="E30" s="125">
        <f>E$26*'Value of Statistical Life'!E20*Appropriate_Crash_Reduction_Factor</f>
        <v>0.22738703175713804</v>
      </c>
      <c r="F30" s="125">
        <f>F$26*'Value of Statistical Life'!F20*Appropriate_Crash_Reduction_Factor</f>
        <v>0.26736174218367331</v>
      </c>
      <c r="G30" s="125">
        <f>G$26*'Value of Statistical Life'!G20*Appropriate_Crash_Reduction_Factor</f>
        <v>0.24881858147265723</v>
      </c>
      <c r="H30" s="125">
        <f>H$26*'Value of Statistical Life'!H20*Appropriate_Crash_Reduction_Factor</f>
        <v>1.4034079649996981E-2</v>
      </c>
      <c r="I30" s="125">
        <f>I$26*'Value of Statistical Life'!I20*Appropriate_Crash_Reduction_Factor</f>
        <v>0.78955822143347565</v>
      </c>
      <c r="J30" s="125">
        <f t="shared" si="9"/>
        <v>1.5471596564969412</v>
      </c>
      <c r="K30" s="70"/>
      <c r="L30" s="107"/>
      <c r="M30" s="11">
        <f t="shared" si="1"/>
        <v>2044</v>
      </c>
      <c r="N30" s="113">
        <f t="shared" si="6"/>
        <v>68300.840530840287</v>
      </c>
      <c r="O30" s="114">
        <f t="shared" si="7"/>
        <v>8.4445182376731154E-3</v>
      </c>
      <c r="P30" s="115">
        <f t="shared" si="8"/>
        <v>0.81723995675596495</v>
      </c>
      <c r="Q30" s="116">
        <f t="shared" si="4"/>
        <v>1</v>
      </c>
      <c r="R30" s="31">
        <f>IF(M30=Year_Open_to_Traffic?,Calculations!$J$5,Calculations!R29+(Calculations!R29*Calculations!O30*Q30))</f>
        <v>12419560.064807268</v>
      </c>
      <c r="S30" s="46">
        <f t="shared" si="0"/>
        <v>0</v>
      </c>
      <c r="T30" s="31">
        <f t="shared" si="5"/>
        <v>0</v>
      </c>
      <c r="U30" s="32">
        <f>T30/(1+Real_Discount_Rate)^(Calculations!M30-'Assumed Values'!$C$5)</f>
        <v>0</v>
      </c>
    </row>
    <row r="31" spans="1:21" ht="15.75">
      <c r="A31" s="39" t="s">
        <v>135</v>
      </c>
      <c r="B31" s="40" t="s">
        <v>136</v>
      </c>
      <c r="D31" s="125">
        <f>D$26*'Value of Statistical Life'!D21*Appropriate_Crash_Reduction_Factor</f>
        <v>0</v>
      </c>
      <c r="E31" s="125">
        <f>E$26*'Value of Statistical Life'!E21*Appropriate_Crash_Reduction_Factor</f>
        <v>6.2780682176626176E-2</v>
      </c>
      <c r="F31" s="125">
        <f>F$26*'Value of Statistical Life'!F21*Appropriate_Crash_Reduction_Factor</f>
        <v>5.1947439722305692E-2</v>
      </c>
      <c r="G31" s="125">
        <f>G$26*'Value of Statistical Life'!G21*Appropriate_Crash_Reduction_Factor</f>
        <v>3.2989951978634295E-2</v>
      </c>
      <c r="H31" s="125">
        <f>H$26*'Value of Statistical Life'!H21*Appropriate_Crash_Reduction_Factor</f>
        <v>0</v>
      </c>
      <c r="I31" s="125">
        <f>I$26*'Value of Statistical Life'!I21*Appropriate_Crash_Reduction_Factor</f>
        <v>0.10113295051369203</v>
      </c>
      <c r="J31" s="125">
        <f t="shared" si="9"/>
        <v>0.2488510243912582</v>
      </c>
      <c r="K31" s="70"/>
      <c r="L31" s="107"/>
      <c r="M31" s="11">
        <f t="shared" si="1"/>
        <v>2045</v>
      </c>
      <c r="N31" s="113">
        <f t="shared" si="6"/>
        <v>68877.608224351367</v>
      </c>
      <c r="O31" s="114">
        <f t="shared" si="7"/>
        <v>8.4445182376731154E-3</v>
      </c>
      <c r="P31" s="115">
        <f t="shared" si="8"/>
        <v>0.82414115447534586</v>
      </c>
      <c r="Q31" s="116">
        <f t="shared" si="4"/>
        <v>1</v>
      </c>
      <c r="R31" s="31">
        <f>IF(M31=Year_Open_to_Traffic?,Calculations!$J$5,Calculations!R30+(Calculations!R30*Calculations!O31*Q31))</f>
        <v>12524437.26627841</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2.8082778806052301E-2</v>
      </c>
      <c r="F32" s="125">
        <f>F$26*'Value of Statistical Life'!F22*Appropriate_Crash_Reduction_Factor</f>
        <v>8.4624055031497988E-3</v>
      </c>
      <c r="G32" s="125">
        <f>G$26*'Value of Statistical Life'!G22*Appropriate_Crash_Reduction_Factor</f>
        <v>3.0202068712834205E-3</v>
      </c>
      <c r="H32" s="125">
        <f>H$26*'Value of Statistical Life'!H22*Appropriate_Crash_Reduction_Factor</f>
        <v>5.2627798687488667E-3</v>
      </c>
      <c r="I32" s="125">
        <f>I$26*'Value of Statistical Life'!I22*Appropriate_Crash_Reduction_Factor</f>
        <v>4.5731107282528487E-2</v>
      </c>
      <c r="J32" s="125">
        <f t="shared" si="9"/>
        <v>9.0559278331762874E-2</v>
      </c>
      <c r="K32" s="70"/>
      <c r="L32" s="107"/>
      <c r="M32" s="11">
        <f t="shared" si="1"/>
        <v>2046</v>
      </c>
      <c r="N32" s="113">
        <f t="shared" si="6"/>
        <v>69459.246443169206</v>
      </c>
      <c r="O32" s="114">
        <f t="shared" si="7"/>
        <v>8.4445182376731154E-3</v>
      </c>
      <c r="P32" s="115">
        <f t="shared" si="8"/>
        <v>0.83110062948472985</v>
      </c>
      <c r="Q32" s="116">
        <f t="shared" si="4"/>
        <v>1</v>
      </c>
      <c r="R32" s="31">
        <f>IF(M32=Year_Open_to_Traffic?,Calculations!$J$5,Calculations!R31+(Calculations!R31*Calculations!O32*Q32))</f>
        <v>12630200.105190091</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0.39308432495732593</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0.39308432495732593</v>
      </c>
      <c r="K33" s="70"/>
      <c r="L33" s="107"/>
      <c r="M33" s="11">
        <f t="shared" si="1"/>
        <v>2047</v>
      </c>
      <c r="N33" s="113">
        <f t="shared" si="6"/>
        <v>70045.796316533582</v>
      </c>
      <c r="O33" s="114">
        <f t="shared" si="7"/>
        <v>8.4445182376731154E-3</v>
      </c>
      <c r="P33" s="115">
        <f t="shared" si="8"/>
        <v>0.8381188739077553</v>
      </c>
      <c r="Q33" s="116">
        <f t="shared" si="4"/>
        <v>1</v>
      </c>
      <c r="R33" s="31">
        <f>IF(M33=Year_Open_to_Traffic?,Calculations!$J$5,Calculations!R32+(Calculations!R32*Calculations!O33*Q33))</f>
        <v>12736856.060323829</v>
      </c>
      <c r="S33" s="46">
        <f t="shared" si="0"/>
        <v>0</v>
      </c>
      <c r="T33" s="31">
        <f t="shared" si="5"/>
        <v>0</v>
      </c>
      <c r="U33" s="32">
        <f>T33/(1+Real_Discount_Rate)^(Calculations!M33-'Assumed Values'!$C$5)</f>
        <v>0</v>
      </c>
    </row>
    <row r="34" spans="1:21" ht="15.75">
      <c r="J34" s="126"/>
      <c r="L34" s="107"/>
      <c r="M34" s="11">
        <f t="shared" si="1"/>
        <v>2048</v>
      </c>
      <c r="N34" s="113">
        <f t="shared" si="6"/>
        <v>70637.299321000886</v>
      </c>
      <c r="O34" s="114">
        <f t="shared" si="7"/>
        <v>8.4445182376731154E-3</v>
      </c>
      <c r="P34" s="115">
        <f t="shared" si="8"/>
        <v>0.84519638402380737</v>
      </c>
      <c r="Q34" s="116">
        <f t="shared" si="4"/>
        <v>1</v>
      </c>
      <c r="R34" s="31">
        <f>IF(M34=Year_Open_to_Traffic?,Calculations!$J$5,Calculations!R33+(Calculations!R33*Calculations!O34*Q34))</f>
        <v>12844412.673615851</v>
      </c>
      <c r="S34" s="46">
        <f t="shared" si="0"/>
        <v>0</v>
      </c>
      <c r="T34" s="31">
        <f t="shared" si="5"/>
        <v>0</v>
      </c>
      <c r="U34" s="32">
        <f>T34/(1+Real_Discount_Rate)^(Calculations!M34-'Assumed Values'!$C$5)</f>
        <v>0</v>
      </c>
    </row>
    <row r="35" spans="1:21" ht="15.75">
      <c r="G35" s="42"/>
      <c r="H35" s="42"/>
      <c r="L35" s="107"/>
      <c r="M35" s="11">
        <f t="shared" si="1"/>
        <v>2049</v>
      </c>
      <c r="N35" s="113">
        <f t="shared" si="6"/>
        <v>71233.797283377047</v>
      </c>
      <c r="O35" s="114">
        <f t="shared" si="7"/>
        <v>8.4445182376731154E-3</v>
      </c>
      <c r="P35" s="115">
        <f t="shared" si="8"/>
        <v>0.85233366030311175</v>
      </c>
      <c r="Q35" s="116">
        <f t="shared" si="4"/>
        <v>1</v>
      </c>
      <c r="R35" s="31">
        <f>IF(M35=Year_Open_to_Traffic?,Calculations!$J$5,Calculations!R34+(Calculations!R34*Calculations!O35*Q35))</f>
        <v>12952877.550690399</v>
      </c>
      <c r="S35" s="46">
        <f t="shared" si="0"/>
        <v>0</v>
      </c>
      <c r="T35" s="31">
        <f t="shared" si="5"/>
        <v>0</v>
      </c>
      <c r="U35" s="32">
        <f>T35/(1+Real_Discount_Rate)^(Calculations!M35-'Assumed Values'!$C$5)</f>
        <v>0</v>
      </c>
    </row>
    <row r="36" spans="1:21" ht="15.75">
      <c r="G36" s="42"/>
      <c r="H36" s="42"/>
      <c r="L36" s="107"/>
      <c r="M36" s="11">
        <f t="shared" si="1"/>
        <v>2050</v>
      </c>
      <c r="N36" s="113">
        <f t="shared" si="6"/>
        <v>71835.332383675239</v>
      </c>
      <c r="O36" s="114">
        <f t="shared" si="7"/>
        <v>8.4445182376731154E-3</v>
      </c>
      <c r="P36" s="115">
        <f t="shared" si="8"/>
        <v>0.85953120744212408</v>
      </c>
      <c r="Q36" s="116">
        <f t="shared" si="4"/>
        <v>1</v>
      </c>
      <c r="R36" s="31">
        <f>IF(M36=Year_Open_to_Traffic?,Calculations!$J$5,Calculations!R35+(Calculations!R35*Calculations!O36*Q36))</f>
        <v>13062258.361397551</v>
      </c>
      <c r="S36" s="46">
        <f t="shared" si="0"/>
        <v>0</v>
      </c>
      <c r="T36" s="31">
        <f t="shared" si="5"/>
        <v>0</v>
      </c>
      <c r="U36" s="32">
        <f>T36/(1+Real_Discount_Rate)^(Calculations!M36-'Assumed Values'!$C$5)</f>
        <v>0</v>
      </c>
    </row>
    <row r="37" spans="1:21">
      <c r="M37" s="40"/>
      <c r="N37" s="40"/>
      <c r="O37" s="119"/>
      <c r="P37" s="121"/>
      <c r="Q37" s="40"/>
      <c r="R37" s="40"/>
      <c r="S37" s="40"/>
      <c r="T37" s="40"/>
      <c r="U37" s="32">
        <f>SUM(U4:U36)</f>
        <v>84428.119178088222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53</v>
      </c>
      <c r="G3" s="40" t="s">
        <v>162</v>
      </c>
      <c r="H3" s="128" t="s">
        <v>163</v>
      </c>
      <c r="Q3" s="87"/>
      <c r="R3" s="86"/>
      <c r="S3" s="86"/>
      <c r="T3" s="86"/>
      <c r="U3" s="86"/>
      <c r="V3" s="86"/>
      <c r="W3" s="86"/>
      <c r="X3" s="86"/>
    </row>
    <row r="4" spans="3:24">
      <c r="C4" t="s">
        <v>164</v>
      </c>
      <c r="D4" t="s">
        <v>165</v>
      </c>
      <c r="G4" s="40" t="s">
        <v>166</v>
      </c>
      <c r="H4" s="128" t="s">
        <v>167</v>
      </c>
      <c r="Q4" s="87"/>
      <c r="R4" s="86"/>
      <c r="S4" s="86"/>
      <c r="T4" s="86"/>
      <c r="U4" s="86"/>
      <c r="V4" s="86"/>
      <c r="W4" s="86"/>
      <c r="X4" s="86"/>
    </row>
    <row r="5" spans="3:24">
      <c r="C5" t="s">
        <v>168</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50</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0"/>
      <c r="T12" s="140"/>
      <c r="U12" s="140"/>
      <c r="V12" s="140"/>
      <c r="W12" s="140"/>
      <c r="X12" s="140"/>
    </row>
    <row r="13" spans="3:24">
      <c r="C13" s="55" t="s">
        <v>49</v>
      </c>
      <c r="D13" s="55" t="s">
        <v>181</v>
      </c>
      <c r="E13" s="55" t="s">
        <v>159</v>
      </c>
      <c r="F13" s="55" t="s">
        <v>162</v>
      </c>
      <c r="G13" s="55" t="s">
        <v>166</v>
      </c>
      <c r="H13" s="55" t="s">
        <v>169</v>
      </c>
      <c r="I13" s="55" t="s">
        <v>172</v>
      </c>
      <c r="J13" s="55" t="s">
        <v>174</v>
      </c>
      <c r="M13" s="40" t="s">
        <v>182</v>
      </c>
      <c r="N13" s="40" t="s">
        <v>183</v>
      </c>
      <c r="O13" s="40" t="s">
        <v>184</v>
      </c>
      <c r="Q13" s="63" t="s">
        <v>49</v>
      </c>
      <c r="R13" s="63" t="s">
        <v>185</v>
      </c>
      <c r="S13" s="63" t="s">
        <v>159</v>
      </c>
      <c r="T13" s="63" t="s">
        <v>162</v>
      </c>
      <c r="U13" s="63" t="s">
        <v>166</v>
      </c>
      <c r="V13" s="63" t="s">
        <v>169</v>
      </c>
      <c r="W13" s="63" t="s">
        <v>172</v>
      </c>
      <c r="X13" s="63" t="s">
        <v>174</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0"/>
      <c r="T26" s="140"/>
      <c r="U26" s="140"/>
      <c r="V26" s="140"/>
      <c r="W26" s="140"/>
      <c r="X26" s="140"/>
    </row>
    <row r="27" spans="3:24">
      <c r="C27" s="55" t="s">
        <v>49</v>
      </c>
      <c r="D27" s="55" t="s">
        <v>181</v>
      </c>
      <c r="E27" s="55" t="s">
        <v>159</v>
      </c>
      <c r="F27" s="55" t="s">
        <v>162</v>
      </c>
      <c r="G27" s="55" t="s">
        <v>166</v>
      </c>
      <c r="H27" s="55" t="s">
        <v>169</v>
      </c>
      <c r="I27" s="55" t="s">
        <v>172</v>
      </c>
      <c r="J27" s="55" t="s">
        <v>174</v>
      </c>
      <c r="M27" s="40" t="s">
        <v>190</v>
      </c>
      <c r="N27" s="40" t="s">
        <v>183</v>
      </c>
      <c r="O27" s="40" t="s">
        <v>184</v>
      </c>
      <c r="Q27" s="63" t="s">
        <v>49</v>
      </c>
      <c r="R27" s="63" t="s">
        <v>185</v>
      </c>
      <c r="S27" s="63" t="s">
        <v>159</v>
      </c>
      <c r="T27" s="63" t="s">
        <v>162</v>
      </c>
      <c r="U27" s="63" t="s">
        <v>166</v>
      </c>
      <c r="V27" s="63" t="s">
        <v>169</v>
      </c>
      <c r="W27" s="63" t="s">
        <v>172</v>
      </c>
      <c r="X27" s="63" t="s">
        <v>174</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30">
      <c r="C18" s="73" t="s">
        <v>220</v>
      </c>
      <c r="D18" s="93">
        <v>122</v>
      </c>
      <c r="E18" s="94">
        <v>0.1</v>
      </c>
      <c r="F18" s="95">
        <v>10</v>
      </c>
    </row>
    <row r="19" spans="3:6">
      <c r="C19" s="73" t="s">
        <v>221</v>
      </c>
      <c r="D19" s="93">
        <v>123</v>
      </c>
      <c r="E19" s="94">
        <v>0.1</v>
      </c>
      <c r="F19" s="95">
        <v>10</v>
      </c>
    </row>
    <row r="20" spans="3:6" ht="30">
      <c r="C20" s="73" t="s">
        <v>222</v>
      </c>
      <c r="D20" s="93">
        <v>124</v>
      </c>
      <c r="E20" s="94">
        <v>0.15</v>
      </c>
      <c r="F20" s="95">
        <v>10</v>
      </c>
    </row>
    <row r="21" spans="3:6">
      <c r="C21" s="72" t="s">
        <v>223</v>
      </c>
      <c r="D21" s="93">
        <v>125</v>
      </c>
      <c r="E21" s="96">
        <v>0.15</v>
      </c>
      <c r="F21" s="95">
        <v>10</v>
      </c>
    </row>
    <row r="22" spans="3:6" ht="30">
      <c r="C22" s="73" t="s">
        <v>224</v>
      </c>
      <c r="D22" s="93">
        <v>126</v>
      </c>
      <c r="E22" s="94">
        <v>0.2</v>
      </c>
      <c r="F22" s="95">
        <v>10</v>
      </c>
    </row>
    <row r="23" spans="3:6" ht="30">
      <c r="C23" s="73" t="s">
        <v>225</v>
      </c>
      <c r="D23" s="93">
        <v>127</v>
      </c>
      <c r="E23" s="94">
        <v>0.1</v>
      </c>
      <c r="F23" s="95">
        <v>10</v>
      </c>
    </row>
    <row r="24" spans="3:6" ht="30">
      <c r="C24" s="73" t="s">
        <v>226</v>
      </c>
      <c r="D24" s="93">
        <v>128</v>
      </c>
      <c r="E24" s="94">
        <v>0.05</v>
      </c>
      <c r="F24" s="95">
        <v>6</v>
      </c>
    </row>
    <row r="25" spans="3:6" ht="30">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70</v>
      </c>
      <c r="D32" s="93">
        <v>203</v>
      </c>
      <c r="E32" s="94">
        <v>0.4</v>
      </c>
      <c r="F32" s="95">
        <v>20</v>
      </c>
    </row>
    <row r="33" spans="3:6">
      <c r="C33" s="73" t="s">
        <v>234</v>
      </c>
      <c r="D33" s="93">
        <v>204</v>
      </c>
      <c r="E33" s="94">
        <v>0.46</v>
      </c>
      <c r="F33" s="95">
        <v>20</v>
      </c>
    </row>
    <row r="34" spans="3:6">
      <c r="C34" s="72" t="s">
        <v>235</v>
      </c>
      <c r="D34" s="93">
        <v>205</v>
      </c>
      <c r="E34" s="96">
        <v>0.15</v>
      </c>
      <c r="F34" s="95">
        <v>10</v>
      </c>
    </row>
    <row r="35" spans="3:6">
      <c r="C35" s="72" t="s">
        <v>236</v>
      </c>
      <c r="D35" s="93">
        <v>206</v>
      </c>
      <c r="E35" s="94">
        <v>7.0000000000000007E-2</v>
      </c>
      <c r="F35" s="95">
        <v>10</v>
      </c>
    </row>
    <row r="36" spans="3:6">
      <c r="C36" s="73" t="s">
        <v>237</v>
      </c>
      <c r="D36" s="93">
        <v>207</v>
      </c>
      <c r="E36" s="94">
        <v>0.3</v>
      </c>
      <c r="F36" s="95">
        <v>10</v>
      </c>
    </row>
    <row r="37" spans="3:6">
      <c r="C37" s="72" t="s">
        <v>238</v>
      </c>
      <c r="D37" s="93">
        <v>209</v>
      </c>
      <c r="E37" s="96">
        <v>0.55000000000000004</v>
      </c>
      <c r="F37" s="95">
        <v>20</v>
      </c>
    </row>
    <row r="38" spans="3:6">
      <c r="C38" s="72" t="s">
        <v>239</v>
      </c>
      <c r="D38" s="93">
        <v>217</v>
      </c>
      <c r="E38" s="94">
        <v>0.6</v>
      </c>
      <c r="F38" s="95">
        <v>10</v>
      </c>
    </row>
    <row r="39" spans="3:6">
      <c r="C39" s="72" t="s">
        <v>240</v>
      </c>
      <c r="D39" s="93">
        <v>218</v>
      </c>
      <c r="E39" s="94">
        <v>0.55000000000000004</v>
      </c>
      <c r="F39" s="95">
        <v>20</v>
      </c>
    </row>
    <row r="40" spans="3:6">
      <c r="C40" s="72" t="s">
        <v>241</v>
      </c>
      <c r="D40" s="93">
        <v>219</v>
      </c>
      <c r="E40" s="94">
        <v>0.1</v>
      </c>
      <c r="F40" s="95">
        <v>10</v>
      </c>
    </row>
    <row r="41" spans="3:6">
      <c r="C41" s="72" t="s">
        <v>242</v>
      </c>
      <c r="D41" s="93">
        <v>222</v>
      </c>
      <c r="E41" s="94">
        <v>0.1</v>
      </c>
      <c r="F41" s="95">
        <v>10</v>
      </c>
    </row>
    <row r="42" spans="3:6">
      <c r="C42" s="72" t="s">
        <v>243</v>
      </c>
      <c r="D42" s="93">
        <v>303</v>
      </c>
      <c r="E42" s="94">
        <v>0.42</v>
      </c>
      <c r="F42" s="95">
        <v>10</v>
      </c>
    </row>
    <row r="43" spans="3:6">
      <c r="C43" s="73" t="s">
        <v>244</v>
      </c>
      <c r="D43" s="93">
        <v>304</v>
      </c>
      <c r="E43" s="94">
        <v>0.4</v>
      </c>
      <c r="F43" s="95">
        <v>15</v>
      </c>
    </row>
    <row r="44" spans="3:6">
      <c r="C44" s="72" t="s">
        <v>245</v>
      </c>
      <c r="D44" s="93">
        <v>305</v>
      </c>
      <c r="E44" s="96">
        <v>0.75</v>
      </c>
      <c r="F44" s="95">
        <v>15</v>
      </c>
    </row>
    <row r="45" spans="3:6">
      <c r="C45" s="40" t="s">
        <v>246</v>
      </c>
      <c r="D45" s="95">
        <v>401</v>
      </c>
      <c r="E45" s="97">
        <v>0.2</v>
      </c>
      <c r="F45" s="95">
        <v>2</v>
      </c>
    </row>
    <row r="46" spans="3:6">
      <c r="C46" s="40" t="s">
        <v>247</v>
      </c>
      <c r="D46" s="95">
        <v>402</v>
      </c>
      <c r="E46" s="97">
        <v>0.25</v>
      </c>
      <c r="F46" s="95">
        <v>2</v>
      </c>
    </row>
    <row r="47" spans="3:6">
      <c r="C47" s="73" t="s">
        <v>248</v>
      </c>
      <c r="D47" s="95">
        <v>403</v>
      </c>
      <c r="E47" s="97">
        <v>0.1</v>
      </c>
      <c r="F47" s="95">
        <v>2</v>
      </c>
    </row>
    <row r="48" spans="3:6">
      <c r="C48" s="73" t="s">
        <v>249</v>
      </c>
      <c r="D48" s="95">
        <v>404</v>
      </c>
      <c r="E48" s="97">
        <v>0.65</v>
      </c>
      <c r="F48" s="95">
        <v>2</v>
      </c>
    </row>
    <row r="49" spans="3:6">
      <c r="C49" s="40" t="s">
        <v>250</v>
      </c>
      <c r="D49" s="95">
        <v>407</v>
      </c>
      <c r="E49" s="96">
        <v>0.2</v>
      </c>
      <c r="F49" s="95">
        <v>10</v>
      </c>
    </row>
    <row r="50" spans="3:6">
      <c r="C50" s="72" t="s">
        <v>251</v>
      </c>
      <c r="D50" s="93">
        <v>501</v>
      </c>
      <c r="E50" s="94">
        <v>0.15</v>
      </c>
      <c r="F50" s="95">
        <v>20</v>
      </c>
    </row>
    <row r="51" spans="3:6">
      <c r="C51" s="72" t="s">
        <v>252</v>
      </c>
      <c r="D51" s="93">
        <v>502</v>
      </c>
      <c r="E51" s="94">
        <v>0.3</v>
      </c>
      <c r="F51" s="95">
        <v>20</v>
      </c>
    </row>
    <row r="52" spans="3:6">
      <c r="C52" s="72" t="s">
        <v>253</v>
      </c>
      <c r="D52" s="93">
        <v>503</v>
      </c>
      <c r="E52" s="94">
        <v>0.25</v>
      </c>
      <c r="F52" s="95">
        <v>20</v>
      </c>
    </row>
    <row r="53" spans="3:6">
      <c r="C53" s="72" t="s">
        <v>254</v>
      </c>
      <c r="D53" s="93">
        <v>504</v>
      </c>
      <c r="E53" s="94">
        <v>0.25</v>
      </c>
      <c r="F53" s="95">
        <v>20</v>
      </c>
    </row>
    <row r="54" spans="3:6">
      <c r="C54" s="73" t="s">
        <v>255</v>
      </c>
      <c r="D54" s="93">
        <v>505</v>
      </c>
      <c r="E54" s="94">
        <v>0.5</v>
      </c>
      <c r="F54" s="95">
        <v>10</v>
      </c>
    </row>
    <row r="55" spans="3:6">
      <c r="C55" s="72" t="s">
        <v>256</v>
      </c>
      <c r="D55" s="93">
        <v>506</v>
      </c>
      <c r="E55" s="96">
        <v>0.5</v>
      </c>
      <c r="F55" s="95">
        <v>10</v>
      </c>
    </row>
    <row r="56" spans="3:6">
      <c r="C56" s="73" t="s">
        <v>257</v>
      </c>
      <c r="D56" s="93">
        <v>507</v>
      </c>
      <c r="E56" s="96">
        <v>0.65</v>
      </c>
      <c r="F56" s="95">
        <v>10</v>
      </c>
    </row>
    <row r="57" spans="3:6">
      <c r="C57" s="73" t="s">
        <v>258</v>
      </c>
      <c r="D57" s="93">
        <v>510</v>
      </c>
      <c r="E57" s="96">
        <v>0.4</v>
      </c>
      <c r="F57" s="95">
        <v>10</v>
      </c>
    </row>
    <row r="58" spans="3:6">
      <c r="C58" s="72" t="s">
        <v>259</v>
      </c>
      <c r="D58" s="93">
        <v>511</v>
      </c>
      <c r="E58" s="96">
        <v>0.1</v>
      </c>
      <c r="F58" s="95">
        <v>10</v>
      </c>
    </row>
    <row r="59" spans="3:6">
      <c r="C59" s="72" t="s">
        <v>260</v>
      </c>
      <c r="D59" s="93">
        <v>514</v>
      </c>
      <c r="E59" s="94">
        <v>0.8</v>
      </c>
      <c r="F59" s="95">
        <v>30</v>
      </c>
    </row>
    <row r="60" spans="3:6">
      <c r="C60" s="72" t="s">
        <v>261</v>
      </c>
      <c r="D60" s="93">
        <v>515</v>
      </c>
      <c r="E60" s="94">
        <v>0.65</v>
      </c>
      <c r="F60" s="95">
        <v>30</v>
      </c>
    </row>
    <row r="61" spans="3:6">
      <c r="C61" s="73" t="s">
        <v>262</v>
      </c>
      <c r="D61" s="93">
        <v>516</v>
      </c>
      <c r="E61" s="94">
        <v>0.95</v>
      </c>
      <c r="F61" s="95">
        <v>20</v>
      </c>
    </row>
    <row r="62" spans="3:6">
      <c r="C62" s="72" t="s">
        <v>263</v>
      </c>
      <c r="D62" s="93">
        <v>517</v>
      </c>
      <c r="E62" s="96">
        <v>0.28000000000000003</v>
      </c>
      <c r="F62" s="95">
        <v>20</v>
      </c>
    </row>
    <row r="63" spans="3:6">
      <c r="C63" s="72" t="s">
        <v>264</v>
      </c>
      <c r="D63" s="93">
        <v>518</v>
      </c>
      <c r="E63" s="94">
        <v>0.45</v>
      </c>
      <c r="F63" s="95">
        <v>10</v>
      </c>
    </row>
    <row r="64" spans="3:6">
      <c r="C64" s="72" t="s">
        <v>265</v>
      </c>
      <c r="D64" s="93">
        <v>519</v>
      </c>
      <c r="E64" s="94">
        <v>0.25</v>
      </c>
      <c r="F64" s="95">
        <v>10</v>
      </c>
    </row>
    <row r="65" spans="3:6">
      <c r="C65" s="72" t="s">
        <v>266</v>
      </c>
      <c r="D65" s="93">
        <v>520</v>
      </c>
      <c r="E65" s="94">
        <v>0.4</v>
      </c>
      <c r="F65" s="95">
        <v>10</v>
      </c>
    </row>
    <row r="66" spans="3:6">
      <c r="C66" s="72" t="s">
        <v>267</v>
      </c>
      <c r="D66" s="93">
        <v>521</v>
      </c>
      <c r="E66" s="94">
        <v>0.25</v>
      </c>
      <c r="F66" s="95">
        <v>10</v>
      </c>
    </row>
    <row r="67" spans="3:6">
      <c r="C67" s="72" t="s">
        <v>268</v>
      </c>
      <c r="D67" s="93">
        <v>522</v>
      </c>
      <c r="E67" s="94">
        <v>0.4</v>
      </c>
      <c r="F67" s="95">
        <v>10</v>
      </c>
    </row>
    <row r="68" spans="3:6">
      <c r="C68" s="72" t="s">
        <v>269</v>
      </c>
      <c r="D68" s="93">
        <v>523</v>
      </c>
      <c r="E68" s="94">
        <v>0.95</v>
      </c>
      <c r="F68" s="95">
        <v>10</v>
      </c>
    </row>
    <row r="69" spans="3:6">
      <c r="C69" s="72" t="s">
        <v>270</v>
      </c>
      <c r="D69" s="93">
        <v>524</v>
      </c>
      <c r="E69" s="94">
        <v>0.1</v>
      </c>
      <c r="F69" s="95">
        <v>10</v>
      </c>
    </row>
    <row r="70" spans="3:6">
      <c r="C70" s="73" t="s">
        <v>271</v>
      </c>
      <c r="D70" s="93">
        <v>525</v>
      </c>
      <c r="E70" s="94">
        <v>0.25</v>
      </c>
      <c r="F70" s="95">
        <v>10</v>
      </c>
    </row>
    <row r="71" spans="3:6">
      <c r="C71" s="72" t="s">
        <v>272</v>
      </c>
      <c r="D71" s="93">
        <v>526</v>
      </c>
      <c r="E71" s="96">
        <v>0.5</v>
      </c>
      <c r="F71" s="95">
        <v>10</v>
      </c>
    </row>
    <row r="72" spans="3:6">
      <c r="C72" s="72" t="s">
        <v>273</v>
      </c>
      <c r="D72" s="93">
        <v>527</v>
      </c>
      <c r="E72" s="94">
        <v>0.95</v>
      </c>
      <c r="F72" s="95">
        <v>10</v>
      </c>
    </row>
    <row r="73" spans="3:6">
      <c r="C73" s="72" t="s">
        <v>274</v>
      </c>
      <c r="D73" s="93">
        <v>528</v>
      </c>
      <c r="E73" s="94">
        <v>0.2</v>
      </c>
      <c r="F73" s="95">
        <v>10</v>
      </c>
    </row>
    <row r="74" spans="3:6">
      <c r="C74" s="72" t="s">
        <v>275</v>
      </c>
      <c r="D74" s="93">
        <v>529</v>
      </c>
      <c r="E74" s="94">
        <v>0.35</v>
      </c>
      <c r="F74" s="95">
        <v>10</v>
      </c>
    </row>
    <row r="75" spans="3:6">
      <c r="C75" s="72" t="s">
        <v>276</v>
      </c>
      <c r="D75" s="93">
        <v>532</v>
      </c>
      <c r="E75" s="96">
        <v>0.25</v>
      </c>
      <c r="F75" s="95">
        <v>10</v>
      </c>
    </row>
    <row r="76" spans="3:6">
      <c r="C76" s="72" t="s">
        <v>277</v>
      </c>
      <c r="D76" s="93">
        <v>533</v>
      </c>
      <c r="E76" s="94">
        <v>0.15</v>
      </c>
      <c r="F76" s="95">
        <v>5</v>
      </c>
    </row>
    <row r="77" spans="3:6">
      <c r="C77" s="72" t="s">
        <v>278</v>
      </c>
      <c r="D77" s="93">
        <v>535</v>
      </c>
      <c r="E77" s="94">
        <v>0.2</v>
      </c>
      <c r="F77" s="95">
        <v>10</v>
      </c>
    </row>
    <row r="78" spans="3:6">
      <c r="C78" s="72" t="s">
        <v>279</v>
      </c>
      <c r="D78" s="93">
        <v>536</v>
      </c>
      <c r="E78" s="94">
        <v>0.4</v>
      </c>
      <c r="F78" s="95">
        <v>20</v>
      </c>
    </row>
    <row r="79" spans="3:6">
      <c r="C79" s="72" t="s">
        <v>280</v>
      </c>
      <c r="D79" s="93">
        <v>537</v>
      </c>
      <c r="E79" s="94">
        <v>0.4</v>
      </c>
      <c r="F79" s="95">
        <v>20</v>
      </c>
    </row>
    <row r="80" spans="3:6">
      <c r="C80" s="72" t="s">
        <v>281</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AA3703-23F9-4B5A-AABC-F2E3AF848043}"/>
</file>

<file path=customXml/itemProps2.xml><?xml version="1.0" encoding="utf-8"?>
<ds:datastoreItem xmlns:ds="http://schemas.openxmlformats.org/officeDocument/2006/customXml" ds:itemID="{9DB937CC-7277-4DC8-952B-E57F236E5EA1}"/>
</file>

<file path=customXml/itemProps3.xml><?xml version="1.0" encoding="utf-8"?>
<ds:datastoreItem xmlns:ds="http://schemas.openxmlformats.org/officeDocument/2006/customXml" ds:itemID="{393B85E4-1000-438B-9F79-6F1CD6027B3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