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8_AM_FM1640/"/>
    </mc:Choice>
  </mc:AlternateContent>
  <xr:revisionPtr revIDLastSave="15" documentId="8_{72A37F9C-8975-473D-A833-85DB5EC8F81D}" xr6:coauthVersionLast="40" xr6:coauthVersionMax="40" xr10:uidLastSave="{AD7CD1FB-F085-4018-A324-3ED0FCE30A97}"/>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<sst xmlns="http://schemas.openxmlformats.org/spreadsheetml/2006/main" count="263" uniqueCount="131">
  <si>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</si>
  <si>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</si>
  <si>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</si>
  <si>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</si>
  <si>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</si>
  <si>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</si>
  <si>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</si>
  <si>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</si>
  <si>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</si>
  <si>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</si>
  <si>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</si>
  <si>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</si>
  <si>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</si>
  <si>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</si>
  <si>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</si>
  <si>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</si>
  <si>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</si>
  <si>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</si>
  <si>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</si>
  <si>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</si>
  <si>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</si>
  <si>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</si>
  <si>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</si>
  <si>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</si>
  <si>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</si>
  <si>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</si>
  <si>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</si>
  <si>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</si>
  <si>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</si>
  <si>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</si>
  <si>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</si>
  <si>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</si>
  <si>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</si>
  <si>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</si>
  <si>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</si>
  <si>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</si>
  <si>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</si>
  <si>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</si>
  <si>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</si>
  <si>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</si>
  <si>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</si>
  <si>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</si>
  <si>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</si>
  <si>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</si>
  <si>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</si>
  <si>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</si>
  <si>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</si>
  <si>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US 90A Access Management</t>
  </si>
  <si>
    <t>Data entered by the sponsors</t>
  </si>
  <si>
    <t>Application ID Number:</t>
  </si>
  <si>
    <t>Data populated/calculated based on inputs</t>
  </si>
  <si>
    <t>Sponsor ID Number (CSJ, etc.):</t>
  </si>
  <si>
    <t>N/A</t>
  </si>
  <si>
    <t xml:space="preserve">HGAC regional travel demand model data provided by HGAC </t>
  </si>
  <si>
    <t>Project County</t>
  </si>
  <si>
    <t>Fort Bend</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</si>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</sst>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226</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3.79</v>
      </c>
    </row>
    <row r="17" spans="1:2">
      <c r="A17" s="86" t="s">
        <v>64</v>
      </c>
      <c r="B17" s="8">
        <v>17</v>
      </c>
    </row>
    <row r="18" spans="1:2">
      <c r="A18" s="86" t="s">
        <v>65</v>
      </c>
      <c r="B18" s="8">
        <v>24</v>
      </c>
    </row>
    <row r="19" spans="1:2">
      <c r="A19" s="76" t="s">
        <v>66</v>
      </c>
      <c r="B19" s="77">
        <f>VLOOKUP(B14,'Service Life'!C6:D8,2,FALSE)</f>
        <v>20</v>
      </c>
    </row>
    <row r="21" spans="1:2">
      <c r="A21" s="81" t="s">
        <v>67</v>
      </c>
    </row>
    <row r="22" spans="1:2" ht="20.25" customHeight="1">
      <c r="A22" s="86" t="s">
        <v>68</v>
      </c>
      <c r="B22" s="95">
        <v>15319</v>
      </c>
    </row>
    <row r="23" spans="1:2" ht="30">
      <c r="A23" s="94" t="s">
        <v>69</v>
      </c>
      <c r="B23" s="96">
        <v>18676</v>
      </c>
    </row>
    <row r="24" spans="1:2" ht="30">
      <c r="A24" s="94" t="s">
        <v>70</v>
      </c>
      <c r="B24" s="96">
        <v>25706</v>
      </c>
    </row>
    <row r="27" spans="1:2" ht="18.75">
      <c r="A27" s="79" t="s">
        <v>71</v>
      </c>
      <c r="B27" s="80"/>
    </row>
    <row r="29" spans="1:2">
      <c r="A29" s="87" t="s">
        <v>72</v>
      </c>
    </row>
    <row r="30" spans="1:2">
      <c r="A30" s="84" t="s">
        <v>73</v>
      </c>
      <c r="B30" s="35">
        <f>'Benefit Calculations'!M37</f>
        <v>10339.1779095698</v>
      </c>
    </row>
    <row r="31" spans="1:2">
      <c r="A31" s="84" t="s">
        <v>74</v>
      </c>
      <c r="B31" s="35">
        <f>'Benefit Calculations'!Q37</f>
        <v>1396.5855401029535</v>
      </c>
    </row>
    <row r="32" spans="1:2">
      <c r="B32" s="88"/>
    </row>
    <row r="33" spans="1:9">
      <c r="A33" s="87" t="s">
        <v>75</v>
      </c>
      <c r="B33" s="88"/>
    </row>
    <row r="34" spans="1:9">
      <c r="A34" s="84" t="s">
        <v>76</v>
      </c>
      <c r="B34" s="35">
        <f>$B$30+$B$31</f>
        <v>11735.763449672753</v>
      </c>
    </row>
    <row r="35" spans="1:9">
      <c r="I35" s="89"/>
    </row>
    <row r="36" spans="1:9">
      <c r="A36" s="87" t="s">
        <v>77</v>
      </c>
    </row>
    <row r="37" spans="1:9">
      <c r="A37" s="84" t="s">
        <v>78</v>
      </c>
      <c r="B37" s="91">
        <f>'Benefit Calculations'!K37</f>
        <v>4.0127508458476351</v>
      </c>
    </row>
    <row r="38" spans="1:9">
      <c r="A38" s="84" t="s">
        <v>79</v>
      </c>
      <c r="B38" s="91">
        <f>'Benefit Calculations'!O37</f>
        <v>2.1362546035332466</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7.5058497488500006E-2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2.0580399781499999E-2</v>
      </c>
      <c r="F4" s="54">
        <v>2018</v>
      </c>
      <c r="G4" s="63">
        <f>'Inputs &amp; Outputs'!B22</f>
        <v>15319</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6.6322602331600006E-2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1.59297008067E-2</v>
      </c>
      <c r="F5" s="54">
        <f t="shared" ref="F5:F36" si="2">F4+1</f>
        <v>2019</v>
      </c>
      <c r="G5" s="63">
        <f>G4+G4*H5</f>
        <v>15758.822579000784</v>
      </c>
      <c r="H5" s="62">
        <f>$C$9</f>
        <v>2.8710919707603866E-2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16211.272868752851</v>
      </c>
      <c r="H6" s="62">
        <f t="shared" ref="H6:H11" si="7">$C$9</f>
        <v>2.8710919707603866E-2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16676.713422445671</v>
      </c>
      <c r="H7" s="62">
        <f t="shared" si="7"/>
        <v>2.8710919707603866E-2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17155.51720250423</v>
      </c>
      <c r="H8" s="62">
        <f t="shared" si="7"/>
        <v>2.8710919707603866E-2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2.8710919707603866E-2</v>
      </c>
      <c r="F9" s="54">
        <f t="shared" si="2"/>
        <v>2023</v>
      </c>
      <c r="G9" s="63">
        <f t="shared" si="6"/>
        <v>17648.067879447746</v>
      </c>
      <c r="H9" s="62">
        <f t="shared" si="7"/>
        <v>2.8710919707603866E-2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1.2861411587456795E-2</v>
      </c>
      <c r="F10" s="54">
        <f t="shared" si="2"/>
        <v>2024</v>
      </c>
      <c r="G10" s="63">
        <f t="shared" si="6"/>
        <v>18154.760139328915</v>
      </c>
      <c r="H10" s="62">
        <f t="shared" si="7"/>
        <v>2.8710919707603866E-2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1.9356454756437991E-2</v>
      </c>
      <c r="F11" s="54">
        <f t="shared" si="2"/>
        <v>2025</v>
      </c>
      <c r="G11" s="63">
        <f>'Inputs &amp; Outputs'!$B$23</f>
        <v>18676</v>
      </c>
      <c r="H11" s="62">
        <f t="shared" si="7"/>
        <v>2.8710919707603866E-2</v>
      </c>
      <c r="I11" s="54">
        <f>IF(AND(F11&gt;='Inputs &amp; Outputs'!B$13,F11&lt;'Inputs &amp; Outputs'!B$13+'Inputs &amp; Outputs'!B$19),1,0)</f>
        <v>1</v>
      </c>
      <c r="J11" s="55">
        <f>I11*'Inputs &amp; Outputs'!B$16*'Benefit Calculations'!G11*('Benefit Calculations'!C$4-'Benefit Calculations'!C$5)</f>
        <v>618.34448043150201</v>
      </c>
      <c r="K11" s="71">
        <f t="shared" si="3"/>
        <v>0.1772182544138681</v>
      </c>
      <c r="L11" s="56">
        <f>K11*'Assumed Values'!$C$8</f>
        <v>1330.5546541393217</v>
      </c>
      <c r="M11" s="57">
        <f t="shared" si="0"/>
        <v>828.60256742860395</v>
      </c>
      <c r="N11" s="55">
        <f>I11*'Inputs &amp; Outputs'!B$16*'Benefit Calculations'!G11*('Benefit Calculations'!D$4-'Benefit Calculations'!D$5)</f>
        <v>329.1859608622525</v>
      </c>
      <c r="O11" s="71">
        <f t="shared" si="4"/>
        <v>9.4345083052815804E-2</v>
      </c>
      <c r="P11" s="56">
        <f>ABS(O11*'Assumed Values'!$C$7)</f>
        <v>179.72738321561411</v>
      </c>
      <c r="Q11" s="57">
        <f t="shared" si="1"/>
        <v>111.92518150711668</v>
      </c>
      <c r="T11" s="68">
        <f t="shared" si="5"/>
        <v>0.16076956491219052</v>
      </c>
      <c r="U11" s="69">
        <f>T11*'Assumed Values'!$D$8</f>
        <v>0</v>
      </c>
    </row>
    <row r="12" spans="2:21">
      <c r="C12" s="38"/>
      <c r="F12" s="54">
        <f t="shared" si="2"/>
        <v>2026</v>
      </c>
      <c r="G12" s="63">
        <f t="shared" si="6"/>
        <v>18916.199722807341</v>
      </c>
      <c r="H12" s="62">
        <f>$C$10</f>
        <v>1.2861411587456795E-2</v>
      </c>
      <c r="I12" s="54">
        <f>IF(AND(F12&gt;='Inputs &amp; Outputs'!B$13,F12&lt;'Inputs &amp; Outputs'!B$13+'Inputs &amp; Outputs'!B$19),1,0)</f>
        <v>1</v>
      </c>
      <c r="J12" s="55">
        <f>I12*'Inputs &amp; Outputs'!B$16*'Benefit Calculations'!G12*('Benefit Calculations'!C$4-'Benefit Calculations'!C$5)</f>
        <v>626.29726329716368</v>
      </c>
      <c r="K12" s="71">
        <f t="shared" si="3"/>
        <v>0.17949753132469548</v>
      </c>
      <c r="L12" s="56">
        <f>K12*'Assumed Values'!$C$8</f>
        <v>1347.6674651858136</v>
      </c>
      <c r="M12" s="57">
        <f t="shared" si="0"/>
        <v>784.35473466423048</v>
      </c>
      <c r="N12" s="55">
        <f>I12*'Inputs &amp; Outputs'!B$16*'Benefit Calculations'!G12*('Benefit Calculations'!D$4-'Benefit Calculations'!D$5)</f>
        <v>333.41975699371437</v>
      </c>
      <c r="O12" s="71">
        <f t="shared" si="4"/>
        <v>9.555849399721085E-2</v>
      </c>
      <c r="P12" s="56">
        <f>ABS(O12*'Assumed Values'!$C$7)</f>
        <v>182.03893106468666</v>
      </c>
      <c r="Q12" s="57">
        <f t="shared" si="1"/>
        <v>105.94831526493505</v>
      </c>
      <c r="T12" s="68">
        <f t="shared" si="5"/>
        <v>0.16283728845726256</v>
      </c>
      <c r="U12" s="69">
        <f>T12*'Assumed Values'!$D$8</f>
        <v>0</v>
      </c>
    </row>
    <row r="13" spans="2:21">
      <c r="C13" s="38"/>
      <c r="F13" s="54">
        <f t="shared" si="2"/>
        <v>2027</v>
      </c>
      <c r="G13" s="63">
        <f t="shared" si="6"/>
        <v>19159.488753112902</v>
      </c>
      <c r="H13" s="62">
        <f t="shared" ref="H13:H36" si="8">$C$10</f>
        <v>1.2861411587456795E-2</v>
      </c>
      <c r="I13" s="54">
        <f>IF(AND(F13&gt;='Inputs &amp; Outputs'!B$13,F13&lt;'Inputs &amp; Outputs'!B$13+'Inputs &amp; Outputs'!B$19),1,0)</f>
        <v>1</v>
      </c>
      <c r="J13" s="55">
        <f>I13*'Inputs &amp; Outputs'!B$16*'Benefit Calculations'!G13*('Benefit Calculations'!C$4-'Benefit Calculations'!C$5)</f>
        <v>634.35233017652638</v>
      </c>
      <c r="K13" s="71">
        <f t="shared" si="3"/>
        <v>0.18180612295399484</v>
      </c>
      <c r="L13" s="56">
        <f>K13*'Assumed Values'!$C$8</f>
        <v>1365.0003711385932</v>
      </c>
      <c r="M13" s="57">
        <f t="shared" si="0"/>
        <v>742.46976050216608</v>
      </c>
      <c r="N13" s="55">
        <f>I13*'Inputs &amp; Outputs'!B$16*'Benefit Calculations'!G13*('Benefit Calculations'!D$4-'Benefit Calculations'!D$5)</f>
        <v>337.70800571980038</v>
      </c>
      <c r="O13" s="71">
        <f t="shared" si="4"/>
        <v>9.6787511119186515E-2</v>
      </c>
      <c r="P13" s="56">
        <f>ABS(O13*'Assumed Values'!$C$7)</f>
        <v>184.38020868205032</v>
      </c>
      <c r="Q13" s="57">
        <f t="shared" si="1"/>
        <v>100.29061696687386</v>
      </c>
      <c r="T13" s="68">
        <f t="shared" si="5"/>
        <v>0.16493160584589683</v>
      </c>
      <c r="U13" s="69">
        <f>T13*'Assumed Values'!$D$8</f>
        <v>0</v>
      </c>
    </row>
    <row r="14" spans="2:21">
      <c r="C14" s="38"/>
      <c r="F14" s="54">
        <f t="shared" si="2"/>
        <v>2028</v>
      </c>
      <c r="G14" s="63">
        <f t="shared" si="6"/>
        <v>19405.906823771937</v>
      </c>
      <c r="H14" s="62">
        <f t="shared" si="8"/>
        <v>1.2861411587456795E-2</v>
      </c>
      <c r="I14" s="54">
        <f>IF(AND(F14&gt;='Inputs &amp; Outputs'!B$13,F14&lt;'Inputs &amp; Outputs'!B$13+'Inputs &amp; Outputs'!B$19),1,0)</f>
        <v>1</v>
      </c>
      <c r="J14" s="55">
        <f>I14*'Inputs &amp; Outputs'!B$16*'Benefit Calculations'!G14*('Benefit Calculations'!C$4-'Benefit Calculations'!C$5)</f>
        <v>642.51099658638884</v>
      </c>
      <c r="K14" s="71">
        <f t="shared" si="3"/>
        <v>0.18414440633042592</v>
      </c>
      <c r="L14" s="56">
        <f>K14*'Assumed Values'!$C$8</f>
        <v>1382.5562027288379</v>
      </c>
      <c r="M14" s="57">
        <f t="shared" si="0"/>
        <v>702.82146699366808</v>
      </c>
      <c r="N14" s="55">
        <f>I14*'Inputs &amp; Outputs'!B$16*'Benefit Calculations'!G14*('Benefit Calculations'!D$4-'Benefit Calculations'!D$5)</f>
        <v>342.0514073777419</v>
      </c>
      <c r="O14" s="71">
        <f t="shared" si="4"/>
        <v>9.8032335136215912E-2</v>
      </c>
      <c r="P14" s="56">
        <f>ABS(O14*'Assumed Values'!$C$7)</f>
        <v>186.75159843449131</v>
      </c>
      <c r="Q14" s="57">
        <f t="shared" si="1"/>
        <v>94.935042869200728</v>
      </c>
      <c r="T14" s="68">
        <f t="shared" si="5"/>
        <v>0.16705285911246109</v>
      </c>
      <c r="U14" s="69">
        <f>T14*'Assumed Values'!$D$8</f>
        <v>0</v>
      </c>
    </row>
    <row r="15" spans="2:21">
      <c r="C15" s="1"/>
      <c r="F15" s="54">
        <f t="shared" si="2"/>
        <v>2029</v>
      </c>
      <c r="G15" s="63">
        <f t="shared" si="6"/>
        <v>19655.494178660305</v>
      </c>
      <c r="H15" s="62">
        <f t="shared" si="8"/>
        <v>1.2861411587456795E-2</v>
      </c>
      <c r="I15" s="54">
        <f>IF(AND(F15&gt;='Inputs &amp; Outputs'!B$13,F15&lt;'Inputs &amp; Outputs'!B$13+'Inputs &amp; Outputs'!B$19),1,0)</f>
        <v>1</v>
      </c>
      <c r="J15" s="55">
        <f>I15*'Inputs &amp; Outputs'!B$16*'Benefit Calculations'!G15*('Benefit Calculations'!C$4-'Benefit Calculations'!C$5)</f>
        <v>650.77459496295364</v>
      </c>
      <c r="K15" s="71">
        <f t="shared" si="3"/>
        <v>0.18651276333176944</v>
      </c>
      <c r="L15" s="56">
        <f>K15*'Assumed Values'!$C$8</f>
        <v>1400.3378270949249</v>
      </c>
      <c r="M15" s="57">
        <f t="shared" si="0"/>
        <v>665.29041416184475</v>
      </c>
      <c r="N15" s="55">
        <f>I15*'Inputs &amp; Outputs'!B$16*'Benefit Calculations'!G15*('Benefit Calculations'!D$4-'Benefit Calculations'!D$5)</f>
        <v>346.45067131209595</v>
      </c>
      <c r="O15" s="71">
        <f t="shared" si="4"/>
        <v>9.9293169347282301E-2</v>
      </c>
      <c r="P15" s="56">
        <f>ABS(O15*'Assumed Values'!$C$7)</f>
        <v>189.15348760657278</v>
      </c>
      <c r="Q15" s="57">
        <f t="shared" si="1"/>
        <v>89.865459373471381</v>
      </c>
      <c r="T15" s="68">
        <f t="shared" si="5"/>
        <v>0.16920139469036793</v>
      </c>
      <c r="U15" s="69">
        <f>T15*'Assumed Values'!$D$8</f>
        <v>0</v>
      </c>
    </row>
    <row r="16" spans="2:21">
      <c r="C16" s="1"/>
      <c r="F16" s="54">
        <f t="shared" si="2"/>
        <v>2030</v>
      </c>
      <c r="G16" s="63">
        <f t="shared" si="6"/>
        <v>19908.291579246918</v>
      </c>
      <c r="H16" s="62">
        <f t="shared" si="8"/>
        <v>1.2861411587456795E-2</v>
      </c>
      <c r="I16" s="54">
        <f>IF(AND(F16&gt;='Inputs &amp; Outputs'!B$13,F16&lt;'Inputs &amp; Outputs'!B$13+'Inputs &amp; Outputs'!B$19),1,0)</f>
        <v>1</v>
      </c>
      <c r="J16" s="55">
        <f>I16*'Inputs &amp; Outputs'!B$16*'Benefit Calculations'!G16*('Benefit Calculations'!C$4-'Benefit Calculations'!C$5)</f>
        <v>659.14447487943266</v>
      </c>
      <c r="K16" s="71">
        <f t="shared" si="3"/>
        <v>0.18891158074729325</v>
      </c>
      <c r="L16" s="56">
        <f>K16*'Assumed Values'!$C$8</f>
        <v>1418.3481482506777</v>
      </c>
      <c r="M16" s="57">
        <f t="shared" si="0"/>
        <v>629.76354019025223</v>
      </c>
      <c r="N16" s="55">
        <f>I16*'Inputs &amp; Outputs'!B$16*'Benefit Calculations'!G16*('Benefit Calculations'!D$4-'Benefit Calculations'!D$5)</f>
        <v>350.90651599059157</v>
      </c>
      <c r="O16" s="71">
        <f t="shared" si="4"/>
        <v>0.10057021966608075</v>
      </c>
      <c r="P16" s="56">
        <f>ABS(O16*'Assumed Values'!$C$7)</f>
        <v>191.58626846388381</v>
      </c>
      <c r="Q16" s="57">
        <f t="shared" si="1"/>
        <v>85.066594424270548</v>
      </c>
      <c r="T16" s="68">
        <f t="shared" si="5"/>
        <v>0.17137756346865249</v>
      </c>
      <c r="U16" s="69">
        <f>T16*'Assumed Values'!$D$8</f>
        <v>0</v>
      </c>
    </row>
    <row r="17" spans="3:21">
      <c r="C17" s="1"/>
      <c r="F17" s="54">
        <f t="shared" si="2"/>
        <v>2031</v>
      </c>
      <c r="G17" s="63">
        <f t="shared" si="6"/>
        <v>20164.340311250711</v>
      </c>
      <c r="H17" s="62">
        <f t="shared" si="8"/>
        <v>1.2861411587456795E-2</v>
      </c>
      <c r="I17" s="54">
        <f>IF(AND(F17&gt;='Inputs &amp; Outputs'!B$13,F17&lt;'Inputs &amp; Outputs'!B$13+'Inputs &amp; Outputs'!B$19),1,0)</f>
        <v>1</v>
      </c>
      <c r="J17" s="55">
        <f>I17*'Inputs &amp; Outputs'!B$16*'Benefit Calculations'!G17*('Benefit Calculations'!C$4-'Benefit Calculations'!C$5)</f>
        <v>667.62200326645507</v>
      </c>
      <c r="K17" s="71">
        <f t="shared" si="3"/>
        <v>0.19134125034092125</v>
      </c>
      <c r="L17" s="56">
        <f>K17*'Assumed Values'!$C$8</f>
        <v>1436.5901075596369</v>
      </c>
      <c r="M17" s="57">
        <f t="shared" si="0"/>
        <v>596.13382082561952</v>
      </c>
      <c r="N17" s="55">
        <f>I17*'Inputs &amp; Outputs'!B$16*'Benefit Calculations'!G17*('Benefit Calculations'!D$4-'Benefit Calculations'!D$5)</f>
        <v>355.419669121467</v>
      </c>
      <c r="O17" s="71">
        <f t="shared" si="4"/>
        <v>0.10186369465464715</v>
      </c>
      <c r="P17" s="56">
        <f>ABS(O17*'Assumed Values'!$C$7)</f>
        <v>194.05033831710281</v>
      </c>
      <c r="Q17" s="57">
        <f t="shared" si="1"/>
        <v>80.523991502340508</v>
      </c>
      <c r="T17" s="68">
        <f t="shared" si="5"/>
        <v>0.17358172084927834</v>
      </c>
      <c r="U17" s="69">
        <f>T17*'Assumed Values'!$D$8</f>
        <v>0</v>
      </c>
    </row>
    <row r="18" spans="3:21">
      <c r="F18" s="54">
        <f t="shared" si="2"/>
        <v>2032</v>
      </c>
      <c r="G18" s="63">
        <f t="shared" si="6"/>
        <v>20423.682191383254</v>
      </c>
      <c r="H18" s="62">
        <f t="shared" si="8"/>
        <v>1.2861411587456795E-2</v>
      </c>
      <c r="I18" s="54">
        <f>IF(AND(F18&gt;='Inputs &amp; Outputs'!B$13,F18&lt;'Inputs &amp; Outputs'!B$13+'Inputs &amp; Outputs'!B$19),1,0)</f>
        <v>1</v>
      </c>
      <c r="J18" s="55">
        <f>I18*'Inputs &amp; Outputs'!B$16*'Benefit Calculations'!G18*('Benefit Calculations'!C$4-'Benefit Calculations'!C$5)</f>
        <v>676.20856463530731</v>
      </c>
      <c r="K18" s="71">
        <f t="shared" si="3"/>
        <v>0.19380216891521446</v>
      </c>
      <c r="L18" s="56">
        <f>K18*'Assumed Values'!$C$8</f>
        <v>1455.0666842154301</v>
      </c>
      <c r="M18" s="57">
        <f t="shared" si="0"/>
        <v>564.29994696865526</v>
      </c>
      <c r="N18" s="55">
        <f>I18*'Inputs &amp; Outputs'!B$16*'Benefit Calculations'!G18*('Benefit Calculations'!D$4-'Benefit Calculations'!D$5)</f>
        <v>359.99086777231594</v>
      </c>
      <c r="O18" s="71">
        <f t="shared" si="4"/>
        <v>0.10317380555741959</v>
      </c>
      <c r="P18" s="56">
        <f>ABS(O18*'Assumed Values'!$C$7)</f>
        <v>196.54609958688431</v>
      </c>
      <c r="Q18" s="57">
        <f t="shared" si="1"/>
        <v>76.22396607450186</v>
      </c>
      <c r="T18" s="68">
        <f t="shared" si="5"/>
        <v>0.17581422680517991</v>
      </c>
      <c r="U18" s="69">
        <f>T18*'Assumed Values'!$D$8</f>
        <v>0</v>
      </c>
    </row>
    <row r="19" spans="3:21">
      <c r="F19" s="54">
        <f t="shared" si="2"/>
        <v>2033</v>
      </c>
      <c r="G19" s="63">
        <f t="shared" si="6"/>
        <v>20686.359574178045</v>
      </c>
      <c r="H19" s="62">
        <f t="shared" si="8"/>
        <v>1.2861411587456795E-2</v>
      </c>
      <c r="I19" s="54">
        <f>IF(AND(F19&gt;='Inputs &amp; Outputs'!B$13,F19&lt;'Inputs &amp; Outputs'!B$13+'Inputs &amp; Outputs'!B$19),1,0)</f>
        <v>1</v>
      </c>
      <c r="J19" s="55">
        <f>I19*'Inputs &amp; Outputs'!B$16*'Benefit Calculations'!G19*('Benefit Calculations'!C$4-'Benefit Calculations'!C$5)</f>
        <v>684.90556130404548</v>
      </c>
      <c r="K19" s="71">
        <f t="shared" si="3"/>
        <v>0.19629473837617487</v>
      </c>
      <c r="L19" s="56">
        <f>K19*'Assumed Values'!$C$8</f>
        <v>1473.780895728321</v>
      </c>
      <c r="M19" s="57">
        <f t="shared" si="0"/>
        <v>534.16601948168147</v>
      </c>
      <c r="N19" s="55">
        <f>I19*'Inputs &amp; Outputs'!B$16*'Benefit Calculations'!G19*('Benefit Calculations'!D$4-'Benefit Calculations'!D$5)</f>
        <v>364.62085849046144</v>
      </c>
      <c r="O19" s="71">
        <f t="shared" si="4"/>
        <v>0.10450076633573782</v>
      </c>
      <c r="P19" s="56">
        <f>ABS(O19*'Assumed Values'!$C$7)</f>
        <v>199.07395986958056</v>
      </c>
      <c r="Q19" s="57">
        <f t="shared" si="1"/>
        <v>72.153564369172315</v>
      </c>
      <c r="T19" s="68">
        <f t="shared" si="5"/>
        <v>0.17807544593905184</v>
      </c>
      <c r="U19" s="69">
        <f>T19*'Assumed Values'!$D$8</f>
        <v>0</v>
      </c>
    </row>
    <row r="20" spans="3:21">
      <c r="F20" s="54">
        <f t="shared" si="2"/>
        <v>2034</v>
      </c>
      <c r="G20" s="63">
        <f t="shared" si="6"/>
        <v>20952.415358907674</v>
      </c>
      <c r="H20" s="62">
        <f t="shared" si="8"/>
        <v>1.2861411587456795E-2</v>
      </c>
      <c r="I20" s="54">
        <f>IF(AND(F20&gt;='Inputs &amp; Outputs'!B$13,F20&lt;'Inputs &amp; Outputs'!B$13+'Inputs &amp; Outputs'!B$19),1,0)</f>
        <v>1</v>
      </c>
      <c r="J20" s="55">
        <f>I20*'Inputs &amp; Outputs'!B$16*'Benefit Calculations'!G20*('Benefit Calculations'!C$4-'Benefit Calculations'!C$5)</f>
        <v>693.71441362651478</v>
      </c>
      <c r="K20" s="71">
        <f t="shared" si="3"/>
        <v>0.19881936579888296</v>
      </c>
      <c r="L20" s="56">
        <f>K20*'Assumed Values'!$C$8</f>
        <v>1492.7357984180132</v>
      </c>
      <c r="M20" s="57">
        <f t="shared" si="0"/>
        <v>505.64126029370914</v>
      </c>
      <c r="N20" s="55">
        <f>I20*'Inputs &amp; Outputs'!B$16*'Benefit Calculations'!G20*('Benefit Calculations'!D$4-'Benefit Calculations'!D$5)</f>
        <v>369.310397424879</v>
      </c>
      <c r="O20" s="71">
        <f t="shared" si="4"/>
        <v>0.10584479370278635</v>
      </c>
      <c r="P20" s="56">
        <f>ABS(O20*'Assumed Values'!$C$7)</f>
        <v>201.634332003808</v>
      </c>
      <c r="Q20" s="57">
        <f t="shared" si="1"/>
        <v>68.300524353295586</v>
      </c>
      <c r="T20" s="68">
        <f t="shared" si="5"/>
        <v>0.18036574754289383</v>
      </c>
      <c r="U20" s="69">
        <f>T20*'Assumed Values'!$D$8</f>
        <v>0</v>
      </c>
    </row>
    <row r="21" spans="3:21">
      <c r="F21" s="54">
        <f t="shared" si="2"/>
        <v>2035</v>
      </c>
      <c r="G21" s="63">
        <f t="shared" si="6"/>
        <v>21221.892996589937</v>
      </c>
      <c r="H21" s="62">
        <f t="shared" si="8"/>
        <v>1.2861411587456795E-2</v>
      </c>
      <c r="I21" s="54">
        <f>IF(AND(F21&gt;='Inputs &amp; Outputs'!B$13,F21&lt;'Inputs &amp; Outputs'!B$13+'Inputs &amp; Outputs'!B$19),1,0)</f>
        <v>1</v>
      </c>
      <c r="J21" s="55">
        <f>I21*'Inputs &amp; Outputs'!B$16*'Benefit Calculations'!G21*('Benefit Calculations'!C$4-'Benefit Calculations'!C$5)</f>
        <v>702.63656022431667</v>
      </c>
      <c r="K21" s="71">
        <f t="shared" si="3"/>
        <v>0.20137646349397953</v>
      </c>
      <c r="L21" s="56">
        <f>K21*'Assumed Values'!$C$8</f>
        <v>1511.9344879127982</v>
      </c>
      <c r="M21" s="57">
        <f t="shared" si="0"/>
        <v>478.63973893266063</v>
      </c>
      <c r="N21" s="55">
        <f>I21*'Inputs &amp; Outputs'!B$16*'Benefit Calculations'!G21*('Benefit Calculations'!D$4-'Benefit Calculations'!D$5)</f>
        <v>374.06025044968766</v>
      </c>
      <c r="O21" s="71">
        <f t="shared" si="4"/>
        <v>0.10720610715898736</v>
      </c>
      <c r="P21" s="56">
        <f>ABS(O21*'Assumed Values'!$C$7)</f>
        <v>204.22763413787092</v>
      </c>
      <c r="Q21" s="57">
        <f t="shared" si="1"/>
        <v>64.653238793123776</v>
      </c>
      <c r="T21" s="68">
        <f t="shared" si="5"/>
        <v>0.18268550565832234</v>
      </c>
      <c r="U21" s="69">
        <f>T21*'Assumed Values'!$D$8</f>
        <v>0</v>
      </c>
    </row>
    <row r="22" spans="3:21">
      <c r="F22" s="54">
        <f t="shared" si="2"/>
        <v>2036</v>
      </c>
      <c r="G22" s="63">
        <f t="shared" si="6"/>
        <v>21494.836497084048</v>
      </c>
      <c r="H22" s="62">
        <f t="shared" si="8"/>
        <v>1.2861411587456795E-2</v>
      </c>
      <c r="I22" s="54">
        <f>IF(AND(F22&gt;='Inputs &amp; Outputs'!B$13,F22&lt;'Inputs &amp; Outputs'!B$13+'Inputs &amp; Outputs'!B$19),1,0)</f>
        <v>1</v>
      </c>
      <c r="J22" s="55">
        <f>I22*'Inputs &amp; Outputs'!B$16*'Benefit Calculations'!G22*('Benefit Calculations'!C$4-'Benefit Calculations'!C$5)</f>
        <v>711.6734582217565</v>
      </c>
      <c r="K22" s="71">
        <f t="shared" si="3"/>
        <v>0.20396644907500208</v>
      </c>
      <c r="L22" s="56">
        <f>K22*'Assumed Values'!$C$8</f>
        <v>1531.3800996551156</v>
      </c>
      <c r="M22" s="57">
        <f t="shared" si="0"/>
        <v>453.08011366092194</v>
      </c>
      <c r="N22" s="55">
        <f>I22*'Inputs &amp; Outputs'!B$16*'Benefit Calculations'!G22*('Benefit Calculations'!D$4-'Benefit Calculations'!D$5)</f>
        <v>378.8711932892283</v>
      </c>
      <c r="O22" s="71">
        <f t="shared" si="4"/>
        <v>0.10858492902784811</v>
      </c>
      <c r="P22" s="56">
        <f>ABS(O22*'Assumed Values'!$C$7)</f>
        <v>206.85428979805064</v>
      </c>
      <c r="Q22" s="57">
        <f t="shared" si="1"/>
        <v>61.200720287574093</v>
      </c>
      <c r="T22" s="68">
        <f t="shared" si="5"/>
        <v>0.18503509913765667</v>
      </c>
      <c r="U22" s="69">
        <f>T22*'Assumed Values'!$D$8</f>
        <v>0</v>
      </c>
    </row>
    <row r="23" spans="3:21">
      <c r="F23" s="54">
        <f t="shared" si="2"/>
        <v>2037</v>
      </c>
      <c r="G23" s="63">
        <f t="shared" si="6"/>
        <v>21771.290436278134</v>
      </c>
      <c r="H23" s="62">
        <f t="shared" si="8"/>
        <v>1.2861411587456795E-2</v>
      </c>
      <c r="I23" s="54">
        <f>IF(AND(F23&gt;='Inputs &amp; Outputs'!B$13,F23&lt;'Inputs &amp; Outputs'!B$13+'Inputs &amp; Outputs'!B$19),1,0)</f>
        <v>1</v>
      </c>
      <c r="J23" s="55">
        <f>I23*'Inputs &amp; Outputs'!B$16*'Benefit Calculations'!G23*('Benefit Calculations'!C$4-'Benefit Calculations'!C$5)</f>
        <v>720.82658348381528</v>
      </c>
      <c r="K23" s="71">
        <f t="shared" si="3"/>
        <v>0.20658974552658774</v>
      </c>
      <c r="L23" s="56">
        <f>K23*'Assumed Values'!$C$8</f>
        <v>1551.0758094136206</v>
      </c>
      <c r="M23" s="57">
        <f t="shared" si="0"/>
        <v>428.88538643439881</v>
      </c>
      <c r="N23" s="55">
        <f>I23*'Inputs &amp; Outputs'!B$16*'Benefit Calculations'!G23*('Benefit Calculations'!D$4-'Benefit Calculations'!D$5)</f>
        <v>383.74401164475194</v>
      </c>
      <c r="O23" s="71">
        <f t="shared" si="4"/>
        <v>0.10998148449227003</v>
      </c>
      <c r="P23" s="56">
        <f>ABS(O23*'Assumed Values'!$C$7)</f>
        <v>209.51472795777443</v>
      </c>
      <c r="Q23" s="57">
        <f t="shared" si="1"/>
        <v>57.932568168823735</v>
      </c>
      <c r="T23" s="68">
        <f t="shared" si="5"/>
        <v>0.18741491170579197</v>
      </c>
      <c r="U23" s="69">
        <f>T23*'Assumed Values'!$D$8</f>
        <v>0</v>
      </c>
    </row>
    <row r="24" spans="3:21">
      <c r="F24" s="54">
        <f t="shared" si="2"/>
        <v>2038</v>
      </c>
      <c r="G24" s="63">
        <f t="shared" si="6"/>
        <v>22051.299963369169</v>
      </c>
      <c r="H24" s="62">
        <f t="shared" si="8"/>
        <v>1.2861411587456795E-2</v>
      </c>
      <c r="I24" s="54">
        <f>IF(AND(F24&gt;='Inputs &amp; Outputs'!B$13,F24&lt;'Inputs &amp; Outputs'!B$13+'Inputs &amp; Outputs'!B$19),1,0)</f>
        <v>1</v>
      </c>
      <c r="J24" s="55">
        <f>I24*'Inputs &amp; Outputs'!B$16*'Benefit Calculations'!G24*('Benefit Calculations'!C$4-'Benefit Calculations'!C$5)</f>
        <v>730.09743085718094</v>
      </c>
      <c r="K24" s="71">
        <f t="shared" si="3"/>
        <v>0.20924678127355315</v>
      </c>
      <c r="L24" s="56">
        <f>K24*'Assumed Values'!$C$8</f>
        <v>1571.0248338018371</v>
      </c>
      <c r="M24" s="57">
        <f t="shared" si="0"/>
        <v>405.98267094689453</v>
      </c>
      <c r="N24" s="55">
        <f>I24*'Inputs &amp; Outputs'!B$16*'Benefit Calculations'!G24*('Benefit Calculations'!D$4-'Benefit Calculations'!D$5)</f>
        <v>388.67950132273688</v>
      </c>
      <c r="O24" s="71">
        <f t="shared" si="4"/>
        <v>0.11139600163132461</v>
      </c>
      <c r="P24" s="56">
        <f>ABS(O24*'Assumed Values'!$C$7)</f>
        <v>212.20938310767337</v>
      </c>
      <c r="Q24" s="57">
        <f t="shared" si="1"/>
        <v>54.838937170431187</v>
      </c>
      <c r="T24" s="68">
        <f t="shared" si="5"/>
        <v>0.18982533202286705</v>
      </c>
      <c r="U24" s="69">
        <f>T24*'Assumed Values'!$D$8</f>
        <v>0</v>
      </c>
    </row>
    <row r="25" spans="3:21">
      <c r="F25" s="54">
        <f t="shared" si="2"/>
        <v>2039</v>
      </c>
      <c r="G25" s="63">
        <f t="shared" si="6"/>
        <v>22334.910808236531</v>
      </c>
      <c r="H25" s="62">
        <f t="shared" si="8"/>
        <v>1.2861411587456795E-2</v>
      </c>
      <c r="I25" s="54">
        <f>IF(AND(F25&gt;='Inputs &amp; Outputs'!B$13,F25&lt;'Inputs &amp; Outputs'!B$13+'Inputs &amp; Outputs'!B$19),1,0)</f>
        <v>1</v>
      </c>
      <c r="J25" s="55">
        <f>I25*'Inputs &amp; Outputs'!B$16*'Benefit Calculations'!G25*('Benefit Calculations'!C$4-'Benefit Calculations'!C$5)</f>
        <v>739.48751441437992</v>
      </c>
      <c r="K25" s="71">
        <f t="shared" si="3"/>
        <v>0.21193799025086288</v>
      </c>
      <c r="L25" s="56">
        <f>K25*'Assumed Values'!$C$8</f>
        <v>1591.2304308034784</v>
      </c>
      <c r="M25" s="57">
        <f t="shared" si="0"/>
        <v>384.30297306104444</v>
      </c>
      <c r="N25" s="55">
        <f>I25*'Inputs &amp; Outputs'!B$16*'Benefit Calculations'!G25*('Benefit Calculations'!D$4-'Benefit Calculations'!D$5)</f>
        <v>393.67846836485609</v>
      </c>
      <c r="O25" s="71">
        <f t="shared" si="4"/>
        <v>0.11282871145750209</v>
      </c>
      <c r="P25" s="56">
        <f>ABS(O25*'Assumed Values'!$C$7)</f>
        <v>214.93869532654148</v>
      </c>
      <c r="Q25" s="57">
        <f t="shared" si="1"/>
        <v>51.910507768596993</v>
      </c>
      <c r="T25" s="68">
        <f t="shared" si="5"/>
        <v>0.19226675374773877</v>
      </c>
      <c r="U25" s="69">
        <f>T25*'Assumed Values'!$D$8</f>
        <v>0</v>
      </c>
    </row>
    <row r="26" spans="3:21">
      <c r="F26" s="54">
        <f t="shared" si="2"/>
        <v>2040</v>
      </c>
      <c r="G26" s="63">
        <f t="shared" si="6"/>
        <v>22622.169288910398</v>
      </c>
      <c r="H26" s="62">
        <f t="shared" si="8"/>
        <v>1.2861411587456795E-2</v>
      </c>
      <c r="I26" s="54">
        <f>IF(AND(F26&gt;='Inputs &amp; Outputs'!B$13,F26&lt;'Inputs &amp; Outputs'!B$13+'Inputs &amp; Outputs'!B$19),1,0)</f>
        <v>1</v>
      </c>
      <c r="J26" s="55">
        <f>I26*'Inputs &amp; Outputs'!B$16*'Benefit Calculations'!G26*('Benefit Calculations'!C$4-'Benefit Calculations'!C$5)</f>
        <v>748.99836770104855</v>
      </c>
      <c r="K26" s="71">
        <f t="shared" si="3"/>
        <v>0.21466381197449758</v>
      </c>
      <c r="L26" s="56">
        <f>K26*'Assumed Values'!$C$8</f>
        <v>1611.6959003045279</v>
      </c>
      <c r="M26" s="57">
        <f t="shared" si="0"/>
        <v>363.78098296436059</v>
      </c>
      <c r="N26" s="55">
        <f>I26*'Inputs &amp; Outputs'!B$16*'Benefit Calculations'!G26*('Benefit Calculations'!D$4-'Benefit Calculations'!D$5)</f>
        <v>398.74172917961607</v>
      </c>
      <c r="O26" s="71">
        <f t="shared" si="4"/>
        <v>0.11427984795443943</v>
      </c>
      <c r="P26" s="56">
        <f>ABS(O26*'Assumed Values'!$C$7)</f>
        <v>217.70311035320711</v>
      </c>
      <c r="Q26" s="57">
        <f t="shared" si="1"/>
        <v>49.138458107217566</v>
      </c>
      <c r="T26" s="68">
        <f t="shared" si="5"/>
        <v>0.19473957560227262</v>
      </c>
      <c r="U26" s="69">
        <f>T26*'Assumed Values'!$D$8</f>
        <v>0</v>
      </c>
    </row>
    <row r="27" spans="3:21">
      <c r="F27" s="54">
        <f t="shared" si="2"/>
        <v>2041</v>
      </c>
      <c r="G27" s="63">
        <f t="shared" si="6"/>
        <v>22913.122319136201</v>
      </c>
      <c r="H27" s="62">
        <f t="shared" si="8"/>
        <v>1.2861411587456795E-2</v>
      </c>
      <c r="I27" s="54">
        <f>IF(AND(F27&gt;='Inputs &amp; Outputs'!B$13,F27&lt;'Inputs &amp; Outputs'!B$13+'Inputs &amp; Outputs'!B$19),1,0)</f>
        <v>1</v>
      </c>
      <c r="J27" s="55">
        <f>I27*'Inputs &amp; Outputs'!B$16*'Benefit Calculations'!G27*('Benefit Calculations'!C$4-'Benefit Calculations'!C$5)</f>
        <v>758.63154398638517</v>
      </c>
      <c r="K27" s="71">
        <f t="shared" si="3"/>
        <v>0.21742469161323408</v>
      </c>
      <c r="L27" s="56">
        <f>K27*'Assumed Values'!$C$8</f>
        <v>1632.4245846321614</v>
      </c>
      <c r="M27" s="57">
        <f t="shared" si="0"/>
        <v>344.35487842425692</v>
      </c>
      <c r="N27" s="55">
        <f>I27*'Inputs &amp; Outputs'!B$16*'Benefit Calculations'!G27*('Benefit Calculations'!D$4-'Benefit Calculations'!D$5)</f>
        <v>403.87011067568943</v>
      </c>
      <c r="O27" s="71">
        <f t="shared" si="4"/>
        <v>0.11574964811513348</v>
      </c>
      <c r="P27" s="56">
        <f>ABS(O27*'Assumed Values'!$C$7)</f>
        <v>220.50307965932927</v>
      </c>
      <c r="Q27" s="57">
        <f t="shared" si="1"/>
        <v>46.514437422156547</v>
      </c>
      <c r="T27" s="68">
        <f t="shared" si="5"/>
        <v>0.19724420143646013</v>
      </c>
      <c r="U27" s="69">
        <f>T27*'Assumed Values'!$D$8</f>
        <v>0</v>
      </c>
    </row>
    <row r="28" spans="3:21">
      <c r="F28" s="54">
        <f t="shared" si="2"/>
        <v>2042</v>
      </c>
      <c r="G28" s="63">
        <f t="shared" si="6"/>
        <v>23207.817416036352</v>
      </c>
      <c r="H28" s="62">
        <f t="shared" si="8"/>
        <v>1.2861411587456795E-2</v>
      </c>
      <c r="I28" s="54">
        <f>IF(AND(F28&gt;='Inputs &amp; Outputs'!B$13,F28&lt;'Inputs &amp; Outputs'!B$13+'Inputs &amp; Outputs'!B$19),1,0)</f>
        <v>1</v>
      </c>
      <c r="J28" s="55">
        <f>I28*'Inputs &amp; Outputs'!B$16*'Benefit Calculations'!G28*('Benefit Calculations'!C$4-'Benefit Calculations'!C$5)</f>
        <v>768.3886165168218</v>
      </c>
      <c r="K28" s="71">
        <f t="shared" si="3"/>
        <v>0.22022108006134772</v>
      </c>
      <c r="L28" s="56">
        <f>K28*'Assumed Values'!$C$8</f>
        <v>1653.4198691005986</v>
      </c>
      <c r="M28" s="57">
        <f t="shared" si="0"/>
        <v>325.96613854936436</v>
      </c>
      <c r="N28" s="55">
        <f>I28*'Inputs &amp; Outputs'!B$16*'Benefit Calculations'!G28*('Benefit Calculations'!D$4-'Benefit Calculations'!D$5)</f>
        <v>409.06445039696109</v>
      </c>
      <c r="O28" s="71">
        <f t="shared" si="4"/>
        <v>0.11723835198064547</v>
      </c>
      <c r="P28" s="56">
        <f>ABS(O28*'Assumed Values'!$C$7)</f>
        <v>223.33906052312963</v>
      </c>
      <c r="Q28" s="57">
        <f t="shared" si="1"/>
        <v>44.030540884674664</v>
      </c>
      <c r="T28" s="68">
        <f t="shared" si="5"/>
        <v>0.19978104029437366</v>
      </c>
      <c r="U28" s="69">
        <f>T28*'Assumed Values'!$D$8</f>
        <v>0</v>
      </c>
    </row>
    <row r="29" spans="3:21">
      <c r="F29" s="54">
        <f t="shared" si="2"/>
        <v>2043</v>
      </c>
      <c r="G29" s="63">
        <f t="shared" si="6"/>
        <v>23506.302707870545</v>
      </c>
      <c r="H29" s="62">
        <f t="shared" si="8"/>
        <v>1.2861411587456795E-2</v>
      </c>
      <c r="I29" s="54">
        <f>IF(AND(F29&gt;='Inputs &amp; Outputs'!B$13,F29&lt;'Inputs &amp; Outputs'!B$13+'Inputs &amp; Outputs'!B$19),1,0)</f>
        <v>1</v>
      </c>
      <c r="J29" s="55">
        <f>I29*'Inputs &amp; Outputs'!B$16*'Benefit Calculations'!G29*('Benefit Calculations'!C$4-'Benefit Calculations'!C$5)</f>
        <v>778.27117877296109</v>
      </c>
      <c r="K29" s="71">
        <f t="shared" si="3"/>
        <v>0.22305343401225097</v>
      </c>
      <c r="L29" s="56">
        <f>K29*'Assumed Values'!$C$8</f>
        <v>1674.6851825639803</v>
      </c>
      <c r="M29" s="57">
        <f t="shared" si="0"/>
        <v>308.55936749609498</v>
      </c>
      <c r="N29" s="55">
        <f>I29*'Inputs &amp; Outputs'!B$16*'Benefit Calculations'!G29*('Benefit Calculations'!D$4-'Benefit Calculations'!D$5)</f>
        <v>414.32559665931325</v>
      </c>
      <c r="O29" s="71">
        <f t="shared" si="4"/>
        <v>0.11874620267930369</v>
      </c>
      <c r="P29" s="56">
        <f>ABS(O29*'Assumed Values'!$C$7)</f>
        <v>226.21151610407352</v>
      </c>
      <c r="Q29" s="57">
        <f t="shared" si="1"/>
        <v>41.679285788234402</v>
      </c>
      <c r="T29" s="68">
        <f t="shared" si="5"/>
        <v>0.20235050648096989</v>
      </c>
      <c r="U29" s="69">
        <f>T29*'Assumed Values'!$D$8</f>
        <v>0</v>
      </c>
    </row>
    <row r="30" spans="3:21">
      <c r="F30" s="54">
        <f t="shared" si="2"/>
        <v>2044</v>
      </c>
      <c r="G30" s="63">
        <f t="shared" si="6"/>
        <v>23808.626941895818</v>
      </c>
      <c r="H30" s="62">
        <f t="shared" si="8"/>
        <v>1.2861411587456795E-2</v>
      </c>
      <c r="I30" s="54">
        <f>IF(AND(F30&gt;='Inputs &amp; Outputs'!B$13,F30&lt;'Inputs &amp; Outputs'!B$13+'Inputs &amp; Outputs'!B$19),1,0)</f>
        <v>1</v>
      </c>
      <c r="J30" s="55">
        <f>I30*'Inputs &amp; Outputs'!B$16*'Benefit Calculations'!G30*('Benefit Calculations'!C$4-'Benefit Calculations'!C$5)</f>
        <v>788.28084472981539</v>
      </c>
      <c r="K30" s="71">
        <f t="shared" si="3"/>
        <v>0.22592221603307819</v>
      </c>
      <c r="L30" s="56">
        <f>K30*'Assumed Values'!$C$8</f>
        <v>1696.223997976351</v>
      </c>
      <c r="M30" s="57">
        <f t="shared" si="0"/>
        <v>292.08212758937168</v>
      </c>
      <c r="N30" s="55">
        <f>I30*'Inputs &amp; Outputs'!B$16*'Benefit Calculations'!G30*('Benefit Calculations'!D$4-'Benefit Calculations'!D$5)</f>
        <v>419.65440868916727</v>
      </c>
      <c r="O30" s="71">
        <f t="shared" si="4"/>
        <v>0.12027344646640978</v>
      </c>
      <c r="P30" s="56">
        <f>ABS(O30*'Assumed Values'!$C$7)</f>
        <v>229.12091551851063</v>
      </c>
      <c r="Q30" s="57">
        <f t="shared" si="1"/>
        <v>39.453589006942174</v>
      </c>
      <c r="T30" s="68">
        <f t="shared" si="5"/>
        <v>0.20495301962975201</v>
      </c>
      <c r="U30" s="69">
        <f>T30*'Assumed Values'!$D$8</f>
        <v>0</v>
      </c>
    </row>
    <row r="31" spans="3:21">
      <c r="F31" s="54">
        <f t="shared" si="2"/>
        <v>2045</v>
      </c>
      <c r="G31" s="63">
        <f>'Inputs &amp; Outputs'!$B$24</f>
        <v>25706</v>
      </c>
      <c r="H31" s="62">
        <f t="shared" si="8"/>
        <v>1.2861411587456795E-2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26036.615446267166</v>
      </c>
      <c r="H32" s="62">
        <f t="shared" si="8"/>
        <v>1.2861411587456795E-2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26371.483073865944</v>
      </c>
      <c r="H33" s="62">
        <f t="shared" si="8"/>
        <v>1.2861411587456795E-2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26710.657571850585</v>
      </c>
      <c r="H34" s="62">
        <f t="shared" si="8"/>
        <v>1.2861411587456795E-2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27054.194332653773</v>
      </c>
      <c r="H35" s="62">
        <f t="shared" si="8"/>
        <v>1.2861411587456795E-2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27402.149461133075</v>
      </c>
      <c r="H36" s="62">
        <f t="shared" si="8"/>
        <v>1.2861411587456795E-2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14001.166782074772</v>
      </c>
      <c r="K37" s="55">
        <f t="shared" ref="K37:Q37" si="9">SUM(K4:K36)</f>
        <v>4.0127508458476351</v>
      </c>
      <c r="L37" s="58">
        <f t="shared" si="9"/>
        <v>30127.733350624039</v>
      </c>
      <c r="M37" s="59">
        <f t="shared" si="9"/>
        <v>10339.1779095698</v>
      </c>
      <c r="N37" s="55">
        <f t="shared" si="9"/>
        <v>7453.7538317373283</v>
      </c>
      <c r="O37" s="55">
        <f t="shared" si="9"/>
        <v>2.1362546035332466</v>
      </c>
      <c r="P37" s="55">
        <f t="shared" si="9"/>
        <v>4069.565019730836</v>
      </c>
      <c r="Q37" s="59">
        <f t="shared" si="9"/>
        <v>1396.5855401029535</v>
      </c>
      <c r="T37" s="68">
        <f>SUM(T4:T36)</f>
        <v>3.640303363339441</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55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55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55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55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705576-5632-448D-9BD8-F881C2B18C3A}"/>
</file>

<file path=customXml/itemProps2.xml><?xml version="1.0" encoding="utf-8"?>
<ds:datastoreItem xmlns:ds="http://schemas.openxmlformats.org/officeDocument/2006/customXml" ds:itemID="{F5EA013D-3365-4FE7-9844-FFEBDF3B6739}"/>
</file>

<file path=customXml/itemProps3.xml><?xml version="1.0" encoding="utf-8"?>
<ds:datastoreItem xmlns:ds="http://schemas.openxmlformats.org/officeDocument/2006/customXml" ds:itemID="{59AC6CCC-39F9-4E22-9F22-F48426F237C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2018-10-31T00:28:41Z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