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5"/>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Access Management/HOU_27_AM_US90A/"/>
    </mc:Choice>
  </mc:AlternateContent>
  <xr:revisionPtr revIDLastSave="14" documentId="8_{6A270571-869E-4E7F-B004-C4653703C49C}" xr6:coauthVersionLast="40" xr6:coauthVersionMax="40" xr10:uidLastSave="{45E385CD-1F92-4955-8B8B-DA740B4A94BE}"/>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<sst xmlns="http://schemas.openxmlformats.org/spreadsheetml/2006/main" count="263" uniqueCount="131">
  <si>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</si>
  <si>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</si>
  <si>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</si>
  <si>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</si>
  <si>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</si>
  <si>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</si>
  <si>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</si>
  <si>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</si>
  <si>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</si>
  <si>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</si>
  <si>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</si>
  <si>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</si>
  <si>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</si>
  <si>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</si>
  <si>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</si>
  <si>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</si>
  <si>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</si>
  <si>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</si>
  <si>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</si>
  <si>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</si>
  <si>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</si>
  <si>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</si>
  <si>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</si>
  <si>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</si>
  <si>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</si>
  <si>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</si>
  <si>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</si>
  <si>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</si>
  <si>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</si>
  <si>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</si>
  <si>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</si>
  <si>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</si>
  <si>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</si>
  <si>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</si>
  <si>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</si>
  <si>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</si>
  <si>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</si>
  <si>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</si>
  <si>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</si>
  <si>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</si>
  <si>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</si>
  <si>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</si>
  <si>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</si>
  <si>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</si>
  <si>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</si>
  <si>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</si>
  <si>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</si>
  <si>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US 90A Access Management</t>
  </si>
  <si>
    <t>Data entered by the sponsors</t>
  </si>
  <si>
    <t>Application ID Number:</t>
  </si>
  <si>
    <t>Data populated/calculated based on inputs</t>
  </si>
  <si>
    <t>Sponsor ID Number (CSJ, etc.):</t>
  </si>
  <si>
    <t>N/A</t>
  </si>
  <si>
    <t xml:space="preserve">HGAC regional travel demand model data provided by HGAC </t>
  </si>
  <si>
    <t>Project County</t>
  </si>
  <si>
    <t>Fort Bend</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</si>
  <si>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</si>
  <si>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</si>
  <si>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</si>
  <si>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</si>
  <si>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</si>
  <si>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</si>
  <si>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</si>
  <si>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</si>
  <si>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</si>
  <si>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</si>
  <si>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</si>
  <si>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</si>
  <si>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</si>
  <si>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</si>
  <si>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</si>
  <si>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</si>
  <si>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</si>
  <si>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</si>
  <si>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</si>
  <si>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</si>
  <si>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</si>
  <si>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</si>
  <si>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</si>
  <si>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</si>
  <si>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</si>
  <si>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</si>
  <si>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</si>
  <si>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</si>
  <si>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</si>
  <si>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</si>
  <si>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</si>
  <si>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</si>
  <si>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</si>
  <si>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</si>
  <si>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</si>
  <si>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</si>
  <si>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</si>
  <si>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</si>
  <si>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</si>
  <si>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</si>
  <si>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</si>
  <si>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</si>
  <si>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</si>
  <si>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</si>
  <si>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</si>
  <si>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</si>
  <si>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</si>
  <si>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</si>
  <si>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</si>
  <si>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</si>
  <si>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</si>
  <si>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</si>
  <si>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</si>
  <si>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</si>
  <si>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</si>
  <si>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</si>
  <si>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</si>
  <si>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</si>
  <si>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</si>
  <si>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</si>
  <si>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Galveston</t>
  </si>
  <si>
    <t>Harris</t>
  </si>
  <si>
    <t>Liberty</t>
  </si>
  <si>
    <t>Montgomery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</si>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</sst>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B7" sqref="B7"/>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v>225</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2026</v>
      </c>
    </row>
    <row r="14" spans="1:5">
      <c r="A14" s="5" t="s">
        <v>59</v>
      </c>
      <c r="B14" s="5" t="s">
        <v>60</v>
      </c>
    </row>
    <row r="15" spans="1:5">
      <c r="A15" s="85" t="s">
        <v>61</v>
      </c>
      <c r="B15" s="8" t="s">
        <v>62</v>
      </c>
    </row>
    <row r="16" spans="1:5">
      <c r="A16" s="85" t="s">
        <v>63</v>
      </c>
      <c r="B16" s="8">
        <v>7.11</v>
      </c>
    </row>
    <row r="17" spans="1:2">
      <c r="A17" s="86" t="s">
        <v>64</v>
      </c>
      <c r="B17" s="8">
        <v>23</v>
      </c>
    </row>
    <row r="18" spans="1:2">
      <c r="A18" s="86" t="s">
        <v>65</v>
      </c>
      <c r="B18" s="8">
        <v>22</v>
      </c>
    </row>
    <row r="19" spans="1:2">
      <c r="A19" s="76" t="s">
        <v>66</v>
      </c>
      <c r="B19" s="77">
        <f>VLOOKUP(B14,'Service Life'!C6:D8,2,FALSE)</f>
        <v>20</v>
      </c>
    </row>
    <row r="21" spans="1:2">
      <c r="A21" s="81" t="s">
        <v>67</v>
      </c>
    </row>
    <row r="22" spans="1:2" ht="20.25" customHeight="1">
      <c r="A22" s="86" t="s">
        <v>68</v>
      </c>
      <c r="B22" s="95">
        <v>25982</v>
      </c>
    </row>
    <row r="23" spans="1:2" ht="30">
      <c r="A23" s="94" t="s">
        <v>69</v>
      </c>
      <c r="B23" s="96">
        <v>27761</v>
      </c>
    </row>
    <row r="24" spans="1:2" ht="30">
      <c r="A24" s="94" t="s">
        <v>70</v>
      </c>
      <c r="B24" s="96">
        <v>35277</v>
      </c>
    </row>
    <row r="27" spans="1:2" ht="18.75">
      <c r="A27" s="79" t="s">
        <v>71</v>
      </c>
      <c r="B27" s="80"/>
    </row>
    <row r="29" spans="1:2">
      <c r="A29" s="87" t="s">
        <v>72</v>
      </c>
    </row>
    <row r="30" spans="1:2">
      <c r="A30" s="84" t="s">
        <v>73</v>
      </c>
      <c r="B30" s="35">
        <f>'Benefit Calculations'!M37</f>
        <v>1334.923621055606</v>
      </c>
    </row>
    <row r="31" spans="1:2">
      <c r="A31" s="84" t="s">
        <v>74</v>
      </c>
      <c r="B31" s="35">
        <f>'Benefit Calculations'!Q37</f>
        <v>895.37305456876959</v>
      </c>
    </row>
    <row r="32" spans="1:2">
      <c r="B32" s="88"/>
    </row>
    <row r="33" spans="1:9">
      <c r="A33" s="87" t="s">
        <v>75</v>
      </c>
      <c r="B33" s="88"/>
    </row>
    <row r="34" spans="1:9">
      <c r="A34" s="84" t="s">
        <v>76</v>
      </c>
      <c r="B34" s="35">
        <f>$B$30+$B$31</f>
        <v>2230.2966756243754</v>
      </c>
    </row>
    <row r="35" spans="1:9">
      <c r="I35" s="89"/>
    </row>
    <row r="36" spans="1:9">
      <c r="A36" s="87" t="s">
        <v>77</v>
      </c>
    </row>
    <row r="37" spans="1:9">
      <c r="A37" s="84" t="s">
        <v>78</v>
      </c>
      <c r="B37" s="91">
        <f>'Benefit Calculations'!K37</f>
        <v>0.55120422935201185</v>
      </c>
    </row>
    <row r="38" spans="1:9">
      <c r="A38" s="84" t="s">
        <v>79</v>
      </c>
      <c r="B38" s="91">
        <f>'Benefit Calculations'!O37</f>
        <v>-1.4571002338017671</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5.0204999744899899E-2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1.28357997163999E-2</v>
      </c>
      <c r="F4" s="54">
        <v>2018</v>
      </c>
      <c r="G4" s="63">
        <f>'Inputs &amp; Outputs'!B22</f>
        <v>25982</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4.9766298383499899E-2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1.39955002815E-2</v>
      </c>
      <c r="F5" s="54">
        <f t="shared" ref="F5:F36" si="2">F4+1</f>
        <v>2019</v>
      </c>
      <c r="G5" s="63">
        <f>G4+G4*H5</f>
        <v>26228.986583561724</v>
      </c>
      <c r="H5" s="62">
        <f>$C$9</f>
        <v>9.5060651051390721E-3</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26478.321037666879</v>
      </c>
      <c r="H6" s="62">
        <f t="shared" ref="H6:H11" si="7">$C$9</f>
        <v>9.5060651051390721E-3</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26730.025681325715</v>
      </c>
      <c r="H7" s="62">
        <f t="shared" si="7"/>
        <v>9.5060651051390721E-3</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26984.123045714437</v>
      </c>
      <c r="H8" s="62">
        <f t="shared" si="7"/>
        <v>9.5060651051390721E-3</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9.5060651051390721E-3</v>
      </c>
      <c r="F9" s="54">
        <f t="shared" si="2"/>
        <v>2023</v>
      </c>
      <c r="G9" s="63">
        <f t="shared" si="6"/>
        <v>27240.635876192082</v>
      </c>
      <c r="H9" s="62">
        <f t="shared" si="7"/>
        <v>9.5060651051390721E-3</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9.6300346472166787E-3</v>
      </c>
      <c r="F10" s="54">
        <f t="shared" si="2"/>
        <v>2024</v>
      </c>
      <c r="G10" s="63">
        <f t="shared" si="6"/>
        <v>27499.587134336551</v>
      </c>
      <c r="H10" s="62">
        <f t="shared" si="7"/>
        <v>9.5060651051390721E-3</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1.1391326046590544E-2</v>
      </c>
      <c r="F11" s="54">
        <f t="shared" si="2"/>
        <v>2025</v>
      </c>
      <c r="G11" s="63">
        <f>'Inputs &amp; Outputs'!$B$23</f>
        <v>27761</v>
      </c>
      <c r="H11" s="62">
        <f t="shared" si="7"/>
        <v>9.5060651051390721E-3</v>
      </c>
      <c r="I11" s="54">
        <f>IF(AND(F11&gt;='Inputs &amp; Outputs'!B$13,F11&lt;'Inputs &amp; Outputs'!B$13+'Inputs &amp; Outputs'!B$19),1,0)</f>
        <v>0</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28028.339391841382</v>
      </c>
      <c r="H12" s="62">
        <f>$C$10</f>
        <v>9.6300346472166787E-3</v>
      </c>
      <c r="I12" s="54">
        <f>IF(AND(F12&gt;='Inputs &amp; Outputs'!B$13,F12&lt;'Inputs &amp; Outputs'!B$13+'Inputs &amp; Outputs'!B$19),1,0)</f>
        <v>1</v>
      </c>
      <c r="J12" s="55">
        <f>I12*'Inputs &amp; Outputs'!B$16*'Benefit Calculations'!G12*('Benefit Calculations'!C$4-'Benefit Calculations'!C$5)</f>
        <v>87.425062314262448</v>
      </c>
      <c r="K12" s="71">
        <f t="shared" si="3"/>
        <v>2.5056125550834491E-2</v>
      </c>
      <c r="L12" s="56">
        <f>K12*'Assumed Values'!$C$8</f>
        <v>188.12139063566536</v>
      </c>
      <c r="M12" s="57">
        <f t="shared" si="0"/>
        <v>109.48836211339341</v>
      </c>
      <c r="N12" s="55">
        <f>I12*'Inputs &amp; Outputs'!B$16*'Benefit Calculations'!G12*('Benefit Calculations'!D$4-'Benefit Calculations'!D$5)</f>
        <v>-231.10686013421989</v>
      </c>
      <c r="O12" s="71">
        <f t="shared" si="4"/>
        <v>-6.623549757810672E-2</v>
      </c>
      <c r="P12" s="56">
        <f>ABS(O12*'Assumed Values'!$C$7)</f>
        <v>126.1786228862933</v>
      </c>
      <c r="Q12" s="57">
        <f t="shared" si="1"/>
        <v>73.437107321301227</v>
      </c>
      <c r="T12" s="68">
        <f t="shared" si="5"/>
        <v>2.2730516201708236E-2</v>
      </c>
      <c r="U12" s="69">
        <f>T12*'Assumed Values'!$D$8</f>
        <v>0</v>
      </c>
    </row>
    <row r="13" spans="2:21">
      <c r="C13" s="38"/>
      <c r="F13" s="54">
        <f t="shared" si="2"/>
        <v>2027</v>
      </c>
      <c r="G13" s="63">
        <f t="shared" si="6"/>
        <v>28298.253271288762</v>
      </c>
      <c r="H13" s="62">
        <f t="shared" ref="H13:H36" si="8">$C$10</f>
        <v>9.6300346472166787E-3</v>
      </c>
      <c r="I13" s="54">
        <f>IF(AND(F13&gt;='Inputs &amp; Outputs'!B$13,F13&lt;'Inputs &amp; Outputs'!B$13+'Inputs &amp; Outputs'!B$19),1,0)</f>
        <v>1</v>
      </c>
      <c r="J13" s="55">
        <f>I13*'Inputs &amp; Outputs'!B$16*'Benefit Calculations'!G13*('Benefit Calculations'!C$4-'Benefit Calculations'!C$5)</f>
        <v>88.266968693383859</v>
      </c>
      <c r="K13" s="71">
        <f t="shared" si="3"/>
        <v>2.5297416908014032E-2</v>
      </c>
      <c r="L13" s="56">
        <f>K13*'Assumed Values'!$C$8</f>
        <v>189.93300614536935</v>
      </c>
      <c r="M13" s="57">
        <f t="shared" si="0"/>
        <v>103.31097087290873</v>
      </c>
      <c r="N13" s="55">
        <f>I13*'Inputs &amp; Outputs'!B$16*'Benefit Calculations'!G13*('Benefit Calculations'!D$4-'Benefit Calculations'!D$5)</f>
        <v>-233.33242720452185</v>
      </c>
      <c r="O13" s="71">
        <f t="shared" si="4"/>
        <v>-6.6873347714659512E-2</v>
      </c>
      <c r="P13" s="56">
        <f>ABS(O13*'Assumed Values'!$C$7)</f>
        <v>127.39372739642637</v>
      </c>
      <c r="Q13" s="57">
        <f t="shared" si="1"/>
        <v>69.293746924482903</v>
      </c>
      <c r="T13" s="68">
        <f t="shared" si="5"/>
        <v>2.2949411860279805E-2</v>
      </c>
      <c r="U13" s="69">
        <f>T13*'Assumed Values'!$D$8</f>
        <v>0</v>
      </c>
    </row>
    <row r="14" spans="2:21">
      <c r="C14" s="38"/>
      <c r="F14" s="54">
        <f t="shared" si="2"/>
        <v>2028</v>
      </c>
      <c r="G14" s="63">
        <f t="shared" si="6"/>
        <v>28570.766430746986</v>
      </c>
      <c r="H14" s="62">
        <f t="shared" si="8"/>
        <v>9.6300346472166787E-3</v>
      </c>
      <c r="I14" s="54">
        <f>IF(AND(F14&gt;='Inputs &amp; Outputs'!B$13,F14&lt;'Inputs &amp; Outputs'!B$13+'Inputs &amp; Outputs'!B$19),1,0)</f>
        <v>1</v>
      </c>
      <c r="J14" s="55">
        <f>I14*'Inputs &amp; Outputs'!B$16*'Benefit Calculations'!G14*('Benefit Calculations'!C$4-'Benefit Calculations'!C$5)</f>
        <v>89.116982660105947</v>
      </c>
      <c r="K14" s="71">
        <f t="shared" si="3"/>
        <v>2.5541031909323296E-2</v>
      </c>
      <c r="L14" s="56">
        <f>K14*'Assumed Values'!$C$8</f>
        <v>191.7620675751993</v>
      </c>
      <c r="M14" s="57">
        <f t="shared" si="0"/>
        <v>97.482111310142486</v>
      </c>
      <c r="N14" s="55">
        <f>I14*'Inputs &amp; Outputs'!B$16*'Benefit Calculations'!G14*('Benefit Calculations'!D$4-'Benefit Calculations'!D$5)</f>
        <v>-235.57942656282057</v>
      </c>
      <c r="O14" s="71">
        <f t="shared" si="4"/>
        <v>-6.7517340370127063E-2</v>
      </c>
      <c r="P14" s="56">
        <f>ABS(O14*'Assumed Values'!$C$7)</f>
        <v>128.62053340509206</v>
      </c>
      <c r="Q14" s="57">
        <f t="shared" si="1"/>
        <v>65.384157110468379</v>
      </c>
      <c r="T14" s="68">
        <f t="shared" si="5"/>
        <v>2.3170415491627547E-2</v>
      </c>
      <c r="U14" s="69">
        <f>T14*'Assumed Values'!$D$8</f>
        <v>0</v>
      </c>
    </row>
    <row r="15" spans="2:21">
      <c r="C15" s="1"/>
      <c r="F15" s="54">
        <f t="shared" si="2"/>
        <v>2029</v>
      </c>
      <c r="G15" s="63">
        <f t="shared" si="6"/>
        <v>28845.903901372614</v>
      </c>
      <c r="H15" s="62">
        <f t="shared" si="8"/>
        <v>9.6300346472166787E-3</v>
      </c>
      <c r="I15" s="54">
        <f>IF(AND(F15&gt;='Inputs &amp; Outputs'!B$13,F15&lt;'Inputs &amp; Outputs'!B$13+'Inputs &amp; Outputs'!B$19),1,0)</f>
        <v>1</v>
      </c>
      <c r="J15" s="55">
        <f>I15*'Inputs &amp; Outputs'!B$16*'Benefit Calculations'!G15*('Benefit Calculations'!C$4-'Benefit Calculations'!C$5)</f>
        <v>89.975182290778179</v>
      </c>
      <c r="K15" s="71">
        <f t="shared" si="3"/>
        <v>2.5786992931535749E-2</v>
      </c>
      <c r="L15" s="56">
        <f>K15*'Assumed Values'!$C$8</f>
        <v>193.60874292997042</v>
      </c>
      <c r="M15" s="57">
        <f t="shared" si="0"/>
        <v>91.982119083685049</v>
      </c>
      <c r="N15" s="55">
        <f>I15*'Inputs &amp; Outputs'!B$16*'Benefit Calculations'!G15*('Benefit Calculations'!D$4-'Benefit Calculations'!D$5)</f>
        <v>-237.84806460279199</v>
      </c>
      <c r="O15" s="71">
        <f t="shared" si="4"/>
        <v>-6.8167534697179316E-2</v>
      </c>
      <c r="P15" s="56">
        <f>ABS(O15*'Assumed Values'!$C$7)</f>
        <v>129.8591535981266</v>
      </c>
      <c r="Q15" s="57">
        <f t="shared" si="1"/>
        <v>61.695148419459102</v>
      </c>
      <c r="T15" s="68">
        <f t="shared" si="5"/>
        <v>2.3393547395602326E-2</v>
      </c>
      <c r="U15" s="69">
        <f>T15*'Assumed Values'!$D$8</f>
        <v>0</v>
      </c>
    </row>
    <row r="16" spans="2:21">
      <c r="C16" s="1"/>
      <c r="F16" s="54">
        <f t="shared" si="2"/>
        <v>2030</v>
      </c>
      <c r="G16" s="63">
        <f t="shared" si="6"/>
        <v>29123.690955373117</v>
      </c>
      <c r="H16" s="62">
        <f t="shared" si="8"/>
        <v>9.6300346472166787E-3</v>
      </c>
      <c r="I16" s="54">
        <f>IF(AND(F16&gt;='Inputs &amp; Outputs'!B$13,F16&lt;'Inputs &amp; Outputs'!B$13+'Inputs &amp; Outputs'!B$19),1,0)</f>
        <v>1</v>
      </c>
      <c r="J16" s="55">
        <f>I16*'Inputs &amp; Outputs'!B$16*'Benefit Calculations'!G16*('Benefit Calculations'!C$4-'Benefit Calculations'!C$5)</f>
        <v>90.841646413627998</v>
      </c>
      <c r="K16" s="71">
        <f t="shared" si="3"/>
        <v>2.6035322566913963E-2</v>
      </c>
      <c r="L16" s="56">
        <f>K16*'Assumed Values'!$C$8</f>
        <v>195.47320183239003</v>
      </c>
      <c r="M16" s="57">
        <f t="shared" si="0"/>
        <v>86.792439324659185</v>
      </c>
      <c r="N16" s="55">
        <f>I16*'Inputs &amp; Outputs'!B$16*'Benefit Calculations'!G16*('Benefit Calculations'!D$4-'Benefit Calculations'!D$5)</f>
        <v>-240.13854970569028</v>
      </c>
      <c r="O16" s="71">
        <f t="shared" si="4"/>
        <v>-6.8823990418128478E-2</v>
      </c>
      <c r="P16" s="56">
        <f>ABS(O16*'Assumed Values'!$C$7)</f>
        <v>131.10970174653474</v>
      </c>
      <c r="Q16" s="57">
        <f t="shared" si="1"/>
        <v>58.214275547947345</v>
      </c>
      <c r="T16" s="68">
        <f t="shared" si="5"/>
        <v>2.3618828067543281E-2</v>
      </c>
      <c r="U16" s="69">
        <f>T16*'Assumed Values'!$D$8</f>
        <v>0</v>
      </c>
    </row>
    <row r="17" spans="3:21">
      <c r="C17" s="1"/>
      <c r="F17" s="54">
        <f t="shared" si="2"/>
        <v>2031</v>
      </c>
      <c r="G17" s="63">
        <f t="shared" si="6"/>
        <v>29404.153108328192</v>
      </c>
      <c r="H17" s="62">
        <f t="shared" si="8"/>
        <v>9.6300346472166787E-3</v>
      </c>
      <c r="I17" s="54">
        <f>IF(AND(F17&gt;='Inputs &amp; Outputs'!B$13,F17&lt;'Inputs &amp; Outputs'!B$13+'Inputs &amp; Outputs'!B$19),1,0)</f>
        <v>1</v>
      </c>
      <c r="J17" s="55">
        <f>I17*'Inputs &amp; Outputs'!B$16*'Benefit Calculations'!G17*('Benefit Calculations'!C$4-'Benefit Calculations'!C$5)</f>
        <v>91.716454616001442</v>
      </c>
      <c r="K17" s="71">
        <f t="shared" si="3"/>
        <v>2.6286043625284812E-2</v>
      </c>
      <c r="L17" s="56">
        <f>K17*'Assumed Values'!$C$8</f>
        <v>197.35561553863838</v>
      </c>
      <c r="M17" s="57">
        <f t="shared" si="0"/>
        <v>81.895564039693568</v>
      </c>
      <c r="N17" s="55">
        <f>I17*'Inputs &amp; Outputs'!B$16*'Benefit Calculations'!G17*('Benefit Calculations'!D$4-'Benefit Calculations'!D$5)</f>
        <v>-242.45109225948843</v>
      </c>
      <c r="O17" s="71">
        <f t="shared" si="4"/>
        <v>-6.948676783041477E-2</v>
      </c>
      <c r="P17" s="56">
        <f>ABS(O17*'Assumed Values'!$C$7)</f>
        <v>132.37229271694014</v>
      </c>
      <c r="Q17" s="57">
        <f t="shared" si="1"/>
        <v>54.929795363024951</v>
      </c>
      <c r="T17" s="68">
        <f t="shared" si="5"/>
        <v>2.3846278200160373E-2</v>
      </c>
      <c r="U17" s="69">
        <f>T17*'Assumed Values'!$D$8</f>
        <v>0</v>
      </c>
    </row>
    <row r="18" spans="3:21">
      <c r="F18" s="54">
        <f t="shared" si="2"/>
        <v>2032</v>
      </c>
      <c r="G18" s="63">
        <f t="shared" si="6"/>
        <v>29687.316121533455</v>
      </c>
      <c r="H18" s="62">
        <f t="shared" si="8"/>
        <v>9.6300346472166787E-3</v>
      </c>
      <c r="I18" s="54">
        <f>IF(AND(F18&gt;='Inputs &amp; Outputs'!B$13,F18&lt;'Inputs &amp; Outputs'!B$13+'Inputs &amp; Outputs'!B$19),1,0)</f>
        <v>1</v>
      </c>
      <c r="J18" s="55">
        <f>I18*'Inputs &amp; Outputs'!B$16*'Benefit Calculations'!G18*('Benefit Calculations'!C$4-'Benefit Calculations'!C$5)</f>
        <v>92.599687251673416</v>
      </c>
      <c r="K18" s="71">
        <f t="shared" si="3"/>
        <v>2.6539179136134551E-2</v>
      </c>
      <c r="L18" s="56">
        <f>K18*'Assumed Values'!$C$8</f>
        <v>199.2561569540982</v>
      </c>
      <c r="M18" s="57">
        <f t="shared" si="0"/>
        <v>77.274973045653425</v>
      </c>
      <c r="N18" s="55">
        <f>I18*'Inputs &amp; Outputs'!B$16*'Benefit Calculations'!G18*('Benefit Calculations'!D$4-'Benefit Calculations'!D$5)</f>
        <v>-244.78590467820285</v>
      </c>
      <c r="O18" s="71">
        <f t="shared" si="4"/>
        <v>-7.0155927812144761E-2</v>
      </c>
      <c r="P18" s="56">
        <f>ABS(O18*'Assumed Values'!$C$7)</f>
        <v>133.64704248213576</v>
      </c>
      <c r="Q18" s="57">
        <f t="shared" si="1"/>
        <v>51.830627285547102</v>
      </c>
      <c r="T18" s="68">
        <f t="shared" si="5"/>
        <v>2.4075918685435089E-2</v>
      </c>
      <c r="U18" s="69">
        <f>T18*'Assumed Values'!$D$8</f>
        <v>0</v>
      </c>
    </row>
    <row r="19" spans="3:21">
      <c r="F19" s="54">
        <f t="shared" si="2"/>
        <v>2033</v>
      </c>
      <c r="G19" s="63">
        <f t="shared" si="6"/>
        <v>29973.206004366697</v>
      </c>
      <c r="H19" s="62">
        <f t="shared" si="8"/>
        <v>9.6300346472166787E-3</v>
      </c>
      <c r="I19" s="54">
        <f>IF(AND(F19&gt;='Inputs &amp; Outputs'!B$13,F19&lt;'Inputs &amp; Outputs'!B$13+'Inputs &amp; Outputs'!B$19),1,0)</f>
        <v>1</v>
      </c>
      <c r="J19" s="55">
        <f>I19*'Inputs &amp; Outputs'!B$16*'Benefit Calculations'!G19*('Benefit Calculations'!C$4-'Benefit Calculations'!C$5)</f>
        <v>93.491425448228469</v>
      </c>
      <c r="K19" s="71">
        <f t="shared" si="3"/>
        <v>2.6794752350724219E-2</v>
      </c>
      <c r="L19" s="56">
        <f>K19*'Assumed Values'!$C$8</f>
        <v>201.17500064923743</v>
      </c>
      <c r="M19" s="57">
        <f t="shared" si="0"/>
        <v>72.915078236865227</v>
      </c>
      <c r="N19" s="55">
        <f>I19*'Inputs &amp; Outputs'!B$16*'Benefit Calculations'!G19*('Benefit Calculations'!D$4-'Benefit Calculations'!D$5)</f>
        <v>-247.14320142140426</v>
      </c>
      <c r="O19" s="71">
        <f t="shared" si="4"/>
        <v>-7.0831531827683356E-2</v>
      </c>
      <c r="P19" s="56">
        <f>ABS(O19*'Assumed Values'!$C$7)</f>
        <v>134.93406813173678</v>
      </c>
      <c r="Q19" s="57">
        <f t="shared" si="1"/>
        <v>48.906315908498968</v>
      </c>
      <c r="T19" s="68">
        <f t="shared" si="5"/>
        <v>2.4307770616539402E-2</v>
      </c>
      <c r="U19" s="69">
        <f>T19*'Assumed Values'!$D$8</f>
        <v>0</v>
      </c>
    </row>
    <row r="20" spans="3:21">
      <c r="F20" s="54">
        <f t="shared" si="2"/>
        <v>2034</v>
      </c>
      <c r="G20" s="63">
        <f t="shared" si="6"/>
        <v>30261.849016676912</v>
      </c>
      <c r="H20" s="62">
        <f t="shared" si="8"/>
        <v>9.6300346472166787E-3</v>
      </c>
      <c r="I20" s="54">
        <f>IF(AND(F20&gt;='Inputs &amp; Outputs'!B$13,F20&lt;'Inputs &amp; Outputs'!B$13+'Inputs &amp; Outputs'!B$19),1,0)</f>
        <v>1</v>
      </c>
      <c r="J20" s="55">
        <f>I20*'Inputs &amp; Outputs'!B$16*'Benefit Calculations'!G20*('Benefit Calculations'!C$4-'Benefit Calculations'!C$5)</f>
        <v>94.391751114512587</v>
      </c>
      <c r="K20" s="71">
        <f t="shared" si="3"/>
        <v>2.7052786744225288E-2</v>
      </c>
      <c r="L20" s="56">
        <f>K20*'Assumed Values'!$C$8</f>
        <v>203.11232287564346</v>
      </c>
      <c r="M20" s="57">
        <f t="shared" si="0"/>
        <v>68.801170996813809</v>
      </c>
      <c r="N20" s="55">
        <f>I20*'Inputs &amp; Outputs'!B$16*'Benefit Calculations'!G20*('Benefit Calculations'!D$4-'Benefit Calculations'!D$5)</f>
        <v>-249.52319901391641</v>
      </c>
      <c r="O20" s="71">
        <f t="shared" si="4"/>
        <v>-7.1513641933299385E-2</v>
      </c>
      <c r="P20" s="56">
        <f>ABS(O20*'Assumed Values'!$C$7)</f>
        <v>136.23348788293532</v>
      </c>
      <c r="Q20" s="57">
        <f t="shared" si="1"/>
        <v>46.146995724453788</v>
      </c>
      <c r="T20" s="68">
        <f t="shared" si="5"/>
        <v>2.4541855289773273E-2</v>
      </c>
      <c r="U20" s="69">
        <f>T20*'Assumed Values'!$D$8</f>
        <v>0</v>
      </c>
    </row>
    <row r="21" spans="3:21">
      <c r="F21" s="54">
        <f t="shared" si="2"/>
        <v>2035</v>
      </c>
      <c r="G21" s="63">
        <f t="shared" si="6"/>
        <v>30553.271671196351</v>
      </c>
      <c r="H21" s="62">
        <f t="shared" si="8"/>
        <v>9.6300346472166787E-3</v>
      </c>
      <c r="I21" s="54">
        <f>IF(AND(F21&gt;='Inputs &amp; Outputs'!B$13,F21&lt;'Inputs &amp; Outputs'!B$13+'Inputs &amp; Outputs'!B$19),1,0)</f>
        <v>1</v>
      </c>
      <c r="J21" s="55">
        <f>I21*'Inputs &amp; Outputs'!B$16*'Benefit Calculations'!G21*('Benefit Calculations'!C$4-'Benefit Calculations'!C$5)</f>
        <v>95.300746948156785</v>
      </c>
      <c r="K21" s="71">
        <f t="shared" si="3"/>
        <v>2.7313306017875936E-2</v>
      </c>
      <c r="L21" s="56">
        <f>K21*'Assumed Values'!$C$8</f>
        <v>205.06830158221251</v>
      </c>
      <c r="M21" s="57">
        <f t="shared" si="0"/>
        <v>64.919372576899249</v>
      </c>
      <c r="N21" s="55">
        <f>I21*'Inputs &amp; Outputs'!B$16*'Benefit Calculations'!G21*('Benefit Calculations'!D$4-'Benefit Calculations'!D$5)</f>
        <v>-251.92611606570478</v>
      </c>
      <c r="O21" s="71">
        <f t="shared" si="4"/>
        <v>-7.2202320782865703E-2</v>
      </c>
      <c r="P21" s="56">
        <f>ABS(O21*'Assumed Values'!$C$7)</f>
        <v>137.54542109135917</v>
      </c>
      <c r="Q21" s="57">
        <f t="shared" si="1"/>
        <v>43.543357843126394</v>
      </c>
      <c r="T21" s="68">
        <f t="shared" si="5"/>
        <v>2.4778194206520766E-2</v>
      </c>
      <c r="U21" s="69">
        <f>T21*'Assumed Values'!$D$8</f>
        <v>0</v>
      </c>
    </row>
    <row r="22" spans="3:21">
      <c r="F22" s="54">
        <f t="shared" si="2"/>
        <v>2036</v>
      </c>
      <c r="G22" s="63">
        <f t="shared" si="6"/>
        <v>30847.500735975795</v>
      </c>
      <c r="H22" s="62">
        <f t="shared" si="8"/>
        <v>9.6300346472166787E-3</v>
      </c>
      <c r="I22" s="54">
        <f>IF(AND(F22&gt;='Inputs &amp; Outputs'!B$13,F22&lt;'Inputs &amp; Outputs'!B$13+'Inputs &amp; Outputs'!B$19),1,0)</f>
        <v>1</v>
      </c>
      <c r="J22" s="55">
        <f>I22*'Inputs &amp; Outputs'!B$16*'Benefit Calculations'!G22*('Benefit Calculations'!C$4-'Benefit Calculations'!C$5)</f>
        <v>96.218496443173166</v>
      </c>
      <c r="K22" s="71">
        <f t="shared" si="3"/>
        <v>2.7576334101158114E-2</v>
      </c>
      <c r="L22" s="56">
        <f>K22*'Assumed Values'!$C$8</f>
        <v>207.04311643149512</v>
      </c>
      <c r="M22" s="57">
        <f t="shared" si="0"/>
        <v>61.256587274850801</v>
      </c>
      <c r="N22" s="55">
        <f>I22*'Inputs &amp; Outputs'!B$16*'Benefit Calculations'!G22*('Benefit Calculations'!D$4-'Benefit Calculations'!D$5)</f>
        <v>-254.35217329195621</v>
      </c>
      <c r="O22" s="71">
        <f t="shared" si="4"/>
        <v>-7.2897631633614152E-2</v>
      </c>
      <c r="P22" s="56">
        <f>ABS(O22*'Assumed Values'!$C$7)</f>
        <v>138.86998826203495</v>
      </c>
      <c r="Q22" s="57">
        <f t="shared" si="1"/>
        <v>41.086618586740045</v>
      </c>
      <c r="T22" s="68">
        <f t="shared" si="5"/>
        <v>2.5016809075225025E-2</v>
      </c>
      <c r="U22" s="69">
        <f>T22*'Assumed Values'!$D$8</f>
        <v>0</v>
      </c>
    </row>
    <row r="23" spans="3:21">
      <c r="F23" s="54">
        <f t="shared" si="2"/>
        <v>2037</v>
      </c>
      <c r="G23" s="63">
        <f t="shared" si="6"/>
        <v>31144.563236843285</v>
      </c>
      <c r="H23" s="62">
        <f t="shared" si="8"/>
        <v>9.6300346472166787E-3</v>
      </c>
      <c r="I23" s="54">
        <f>IF(AND(F23&gt;='Inputs &amp; Outputs'!B$13,F23&lt;'Inputs &amp; Outputs'!B$13+'Inputs &amp; Outputs'!B$19),1,0)</f>
        <v>1</v>
      </c>
      <c r="J23" s="55">
        <f>I23*'Inputs &amp; Outputs'!B$16*'Benefit Calculations'!G23*('Benefit Calculations'!C$4-'Benefit Calculations'!C$5)</f>
        <v>97.145083897624019</v>
      </c>
      <c r="K23" s="71">
        <f t="shared" si="3"/>
        <v>2.7841895153995488E-2</v>
      </c>
      <c r="L23" s="56">
        <f>K23*'Assumed Values'!$C$8</f>
        <v>209.03694881619813</v>
      </c>
      <c r="M23" s="57">
        <f t="shared" si="0"/>
        <v>57.800458254839121</v>
      </c>
      <c r="N23" s="55">
        <f>I23*'Inputs &amp; Outputs'!B$16*'Benefit Calculations'!G23*('Benefit Calculations'!D$4-'Benefit Calculations'!D$5)</f>
        <v>-256.80159353335262</v>
      </c>
      <c r="O23" s="71">
        <f t="shared" si="4"/>
        <v>-7.3599638351945884E-2</v>
      </c>
      <c r="P23" s="56">
        <f>ABS(O23*'Assumed Values'!$C$7)</f>
        <v>140.2073110604569</v>
      </c>
      <c r="Q23" s="57">
        <f t="shared" si="1"/>
        <v>38.768489857259176</v>
      </c>
      <c r="T23" s="68">
        <f t="shared" si="5"/>
        <v>2.5257721813382247E-2</v>
      </c>
      <c r="U23" s="69">
        <f>T23*'Assumed Values'!$D$8</f>
        <v>0</v>
      </c>
    </row>
    <row r="24" spans="3:21">
      <c r="F24" s="54">
        <f t="shared" si="2"/>
        <v>2038</v>
      </c>
      <c r="G24" s="63">
        <f t="shared" si="6"/>
        <v>31444.486459886517</v>
      </c>
      <c r="H24" s="62">
        <f t="shared" si="8"/>
        <v>9.6300346472166787E-3</v>
      </c>
      <c r="I24" s="54">
        <f>IF(AND(F24&gt;='Inputs &amp; Outputs'!B$13,F24&lt;'Inputs &amp; Outputs'!B$13+'Inputs &amp; Outputs'!B$19),1,0)</f>
        <v>1</v>
      </c>
      <c r="J24" s="55">
        <f>I24*'Inputs &amp; Outputs'!B$16*'Benefit Calculations'!G24*('Benefit Calculations'!C$4-'Benefit Calculations'!C$5)</f>
        <v>98.080594421364907</v>
      </c>
      <c r="K24" s="71">
        <f t="shared" si="3"/>
        <v>2.811001356897264E-2</v>
      </c>
      <c r="L24" s="56">
        <f>K24*'Assumed Values'!$C$8</f>
        <v>211.04998187584658</v>
      </c>
      <c r="M24" s="57">
        <f t="shared" si="0"/>
        <v>54.539325860241334</v>
      </c>
      <c r="N24" s="55">
        <f>I24*'Inputs &amp; Outputs'!B$16*'Benefit Calculations'!G24*('Benefit Calculations'!D$4-'Benefit Calculations'!D$5)</f>
        <v>-259.27460177653927</v>
      </c>
      <c r="O24" s="71">
        <f t="shared" si="4"/>
        <v>-7.4308405419297743E-2</v>
      </c>
      <c r="P24" s="56">
        <f>ABS(O24*'Assumed Values'!$C$7)</f>
        <v>141.55751232376221</v>
      </c>
      <c r="Q24" s="57">
        <f t="shared" si="1"/>
        <v>36.581151175518556</v>
      </c>
      <c r="T24" s="68">
        <f t="shared" si="5"/>
        <v>2.5500954549554877E-2</v>
      </c>
      <c r="U24" s="69">
        <f>T24*'Assumed Values'!$D$8</f>
        <v>0</v>
      </c>
    </row>
    <row r="25" spans="3:21">
      <c r="F25" s="54">
        <f t="shared" si="2"/>
        <v>2039</v>
      </c>
      <c r="G25" s="63">
        <f t="shared" si="6"/>
        <v>31747.297953959162</v>
      </c>
      <c r="H25" s="62">
        <f t="shared" si="8"/>
        <v>9.6300346472166787E-3</v>
      </c>
      <c r="I25" s="54">
        <f>IF(AND(F25&gt;='Inputs &amp; Outputs'!B$13,F25&lt;'Inputs &amp; Outputs'!B$13+'Inputs &amp; Outputs'!B$19),1,0)</f>
        <v>1</v>
      </c>
      <c r="J25" s="55">
        <f>I25*'Inputs &amp; Outputs'!B$16*'Benefit Calculations'!G25*('Benefit Calculations'!C$4-'Benefit Calculations'!C$5)</f>
        <v>99.025113943862266</v>
      </c>
      <c r="K25" s="71">
        <f t="shared" si="3"/>
        <v>2.838071397357558E-2</v>
      </c>
      <c r="L25" s="56">
        <f>K25*'Assumed Values'!$C$8</f>
        <v>213.08240051360545</v>
      </c>
      <c r="M25" s="57">
        <f t="shared" si="0"/>
        <v>51.462188278421777</v>
      </c>
      <c r="N25" s="55">
        <f>I25*'Inputs &amp; Outputs'!B$16*'Benefit Calculations'!G25*('Benefit Calculations'!D$4-'Benefit Calculations'!D$5)</f>
        <v>-261.77142517479064</v>
      </c>
      <c r="O25" s="71">
        <f t="shared" si="4"/>
        <v>-7.502399793806501E-2</v>
      </c>
      <c r="P25" s="56">
        <f>ABS(O25*'Assumed Values'!$C$7)</f>
        <v>142.92071607201385</v>
      </c>
      <c r="Q25" s="57">
        <f t="shared" si="1"/>
        <v>34.517223297919507</v>
      </c>
      <c r="T25" s="68">
        <f t="shared" si="5"/>
        <v>2.5746529625404191E-2</v>
      </c>
      <c r="U25" s="69">
        <f>T25*'Assumed Values'!$D$8</f>
        <v>0</v>
      </c>
    </row>
    <row r="26" spans="3:21">
      <c r="F26" s="54">
        <f t="shared" si="2"/>
        <v>2040</v>
      </c>
      <c r="G26" s="63">
        <f t="shared" si="6"/>
        <v>32053.025533211301</v>
      </c>
      <c r="H26" s="62">
        <f t="shared" si="8"/>
        <v>9.6300346472166787E-3</v>
      </c>
      <c r="I26" s="54">
        <f>IF(AND(F26&gt;='Inputs &amp; Outputs'!B$13,F26&lt;'Inputs &amp; Outputs'!B$13+'Inputs &amp; Outputs'!B$19),1,0)</f>
        <v>1</v>
      </c>
      <c r="J26" s="55">
        <f>I26*'Inputs &amp; Outputs'!B$16*'Benefit Calculations'!G26*('Benefit Calculations'!C$4-'Benefit Calculations'!C$5)</f>
        <v>99.978729222086244</v>
      </c>
      <c r="K26" s="71">
        <f t="shared" si="3"/>
        <v>2.865402123245386E-2</v>
      </c>
      <c r="L26" s="56">
        <f>K26*'Assumed Values'!$C$8</f>
        <v>215.13439141326359</v>
      </c>
      <c r="M26" s="57">
        <f t="shared" si="0"/>
        <v>48.558664424826702</v>
      </c>
      <c r="N26" s="55">
        <f>I26*'Inputs &amp; Outputs'!B$16*'Benefit Calculations'!G26*('Benefit Calculations'!D$4-'Benefit Calculations'!D$5)</f>
        <v>-264.29229306887521</v>
      </c>
      <c r="O26" s="71">
        <f t="shared" si="4"/>
        <v>-7.5746481637581298E-2</v>
      </c>
      <c r="P26" s="56">
        <f>ABS(O26*'Assumed Values'!$C$7)</f>
        <v>144.29704751959238</v>
      </c>
      <c r="Q26" s="57">
        <f t="shared" si="1"/>
        <v>32.569743321686161</v>
      </c>
      <c r="T26" s="68">
        <f t="shared" si="5"/>
        <v>2.5994469597742424E-2</v>
      </c>
      <c r="U26" s="69">
        <f>T26*'Assumed Values'!$D$8</f>
        <v>0</v>
      </c>
    </row>
    <row r="27" spans="3:21">
      <c r="F27" s="54">
        <f t="shared" si="2"/>
        <v>2041</v>
      </c>
      <c r="G27" s="63">
        <f t="shared" si="6"/>
        <v>32361.697279644246</v>
      </c>
      <c r="H27" s="62">
        <f t="shared" si="8"/>
        <v>9.6300346472166787E-3</v>
      </c>
      <c r="I27" s="54">
        <f>IF(AND(F27&gt;='Inputs &amp; Outputs'!B$13,F27&lt;'Inputs &amp; Outputs'!B$13+'Inputs &amp; Outputs'!B$19),1,0)</f>
        <v>1</v>
      </c>
      <c r="J27" s="55">
        <f>I27*'Inputs &amp; Outputs'!B$16*'Benefit Calculations'!G27*('Benefit Calculations'!C$4-'Benefit Calculations'!C$5)</f>
        <v>100.94152784847964</v>
      </c>
      <c r="K27" s="71">
        <f t="shared" si="3"/>
        <v>2.8929960449704473E-2</v>
      </c>
      <c r="L27" s="56">
        <f>K27*'Assumed Values'!$C$8</f>
        <v>217.20614305638119</v>
      </c>
      <c r="M27" s="57">
        <f t="shared" si="0"/>
        <v>45.818958921177895</v>
      </c>
      <c r="N27" s="55">
        <f>I27*'Inputs &amp; Outputs'!B$16*'Benefit Calculations'!G27*('Benefit Calculations'!D$4-'Benefit Calculations'!D$5)</f>
        <v>-266.83743700812084</v>
      </c>
      <c r="O27" s="71">
        <f t="shared" si="4"/>
        <v>-7.6475922880155978E-2</v>
      </c>
      <c r="P27" s="56">
        <f>ABS(O27*'Assumed Values'!$C$7)</f>
        <v>145.68663308669713</v>
      </c>
      <c r="Q27" s="57">
        <f t="shared" si="1"/>
        <v>30.732141194696219</v>
      </c>
      <c r="T27" s="68">
        <f t="shared" si="5"/>
        <v>2.6244797240604703E-2</v>
      </c>
      <c r="U27" s="69">
        <f>T27*'Assumed Values'!$D$8</f>
        <v>0</v>
      </c>
    </row>
    <row r="28" spans="3:21">
      <c r="F28" s="54">
        <f t="shared" si="2"/>
        <v>2042</v>
      </c>
      <c r="G28" s="63">
        <f t="shared" si="6"/>
        <v>32673.341545689957</v>
      </c>
      <c r="H28" s="62">
        <f t="shared" si="8"/>
        <v>9.6300346472166787E-3</v>
      </c>
      <c r="I28" s="54">
        <f>IF(AND(F28&gt;='Inputs &amp; Outputs'!B$13,F28&lt;'Inputs &amp; Outputs'!B$13+'Inputs &amp; Outputs'!B$19),1,0)</f>
        <v>1</v>
      </c>
      <c r="J28" s="55">
        <f>I28*'Inputs &amp; Outputs'!B$16*'Benefit Calculations'!G28*('Benefit Calculations'!C$4-'Benefit Calculations'!C$5)</f>
        <v>101.91359825900348</v>
      </c>
      <c r="K28" s="71">
        <f t="shared" si="3"/>
        <v>2.9208556971177736E-2</v>
      </c>
      <c r="L28" s="56">
        <f>K28*'Assumed Values'!$C$8</f>
        <v>219.29784573960245</v>
      </c>
      <c r="M28" s="57">
        <f t="shared" si="0"/>
        <v>43.233829049615174</v>
      </c>
      <c r="N28" s="55">
        <f>I28*'Inputs &amp; Outputs'!B$16*'Benefit Calculations'!G28*('Benefit Calculations'!D$4-'Benefit Calculations'!D$5)</f>
        <v>-269.4070907716835</v>
      </c>
      <c r="O28" s="71">
        <f t="shared" si="4"/>
        <v>-7.7212388667169729E-2</v>
      </c>
      <c r="P28" s="56">
        <f>ABS(O28*'Assumed Values'!$C$7)</f>
        <v>147.08960041095833</v>
      </c>
      <c r="Q28" s="57">
        <f t="shared" si="1"/>
        <v>28.99821755063952</v>
      </c>
      <c r="T28" s="68">
        <f t="shared" si="5"/>
        <v>2.6497535547340904E-2</v>
      </c>
      <c r="U28" s="69">
        <f>T28*'Assumed Values'!$D$8</f>
        <v>0</v>
      </c>
    </row>
    <row r="29" spans="3:21">
      <c r="F29" s="54">
        <f t="shared" si="2"/>
        <v>2043</v>
      </c>
      <c r="G29" s="63">
        <f t="shared" si="6"/>
        <v>32987.986956815294</v>
      </c>
      <c r="H29" s="62">
        <f t="shared" si="8"/>
        <v>9.6300346472166787E-3</v>
      </c>
      <c r="I29" s="54">
        <f>IF(AND(F29&gt;='Inputs &amp; Outputs'!B$13,F29&lt;'Inputs &amp; Outputs'!B$13+'Inputs &amp; Outputs'!B$19),1,0)</f>
        <v>1</v>
      </c>
      <c r="J29" s="55">
        <f>I29*'Inputs &amp; Outputs'!B$16*'Benefit Calculations'!G29*('Benefit Calculations'!C$4-'Benefit Calculations'!C$5)</f>
        <v>102.8950297412602</v>
      </c>
      <c r="K29" s="71">
        <f t="shared" si="3"/>
        <v>2.9489836386805381E-2</v>
      </c>
      <c r="L29" s="56">
        <f>K29*'Assumed Values'!$C$8</f>
        <v>221.40969159213481</v>
      </c>
      <c r="M29" s="57">
        <f t="shared" si="0"/>
        <v>40.79455357130356</v>
      </c>
      <c r="N29" s="55">
        <f>I29*'Inputs &amp; Outputs'!B$16*'Benefit Calculations'!G29*('Benefit Calculations'!D$4-'Benefit Calculations'!D$5)</f>
        <v>-272.00149039002065</v>
      </c>
      <c r="O29" s="71">
        <f t="shared" si="4"/>
        <v>-7.7955946645228938E-2</v>
      </c>
      <c r="P29" s="56">
        <f>ABS(O29*'Assumed Values'!$C$7)</f>
        <v>148.50607835916114</v>
      </c>
      <c r="Q29" s="57">
        <f t="shared" si="1"/>
        <v>27.362122794728702</v>
      </c>
      <c r="T29" s="68">
        <f t="shared" si="5"/>
        <v>2.6752707732727653E-2</v>
      </c>
      <c r="U29" s="69">
        <f>T29*'Assumed Values'!$D$8</f>
        <v>0</v>
      </c>
    </row>
    <row r="30" spans="3:21">
      <c r="F30" s="54">
        <f t="shared" si="2"/>
        <v>2044</v>
      </c>
      <c r="G30" s="63">
        <f t="shared" si="6"/>
        <v>33305.66241415136</v>
      </c>
      <c r="H30" s="62">
        <f t="shared" si="8"/>
        <v>9.6300346472166787E-3</v>
      </c>
      <c r="I30" s="54">
        <f>IF(AND(F30&gt;='Inputs &amp; Outputs'!B$13,F30&lt;'Inputs &amp; Outputs'!B$13+'Inputs &amp; Outputs'!B$19),1,0)</f>
        <v>1</v>
      </c>
      <c r="J30" s="55">
        <f>I30*'Inputs &amp; Outputs'!B$16*'Benefit Calculations'!G30*('Benefit Calculations'!C$4-'Benefit Calculations'!C$5)</f>
        <v>103.88591244269493</v>
      </c>
      <c r="K30" s="71">
        <f t="shared" si="3"/>
        <v>2.977382453295107E-2</v>
      </c>
      <c r="L30" s="56">
        <f>K30*'Assumed Values'!$C$8</f>
        <v>223.54187459339664</v>
      </c>
      <c r="M30" s="57">
        <f t="shared" si="0"/>
        <v>38.492903304311177</v>
      </c>
      <c r="N30" s="55">
        <f>I30*'Inputs &amp; Outputs'!B$16*'Benefit Calculations'!G30*('Benefit Calculations'!D$4-'Benefit Calculations'!D$5)</f>
        <v>-274.62087416657113</v>
      </c>
      <c r="O30" s="71">
        <f t="shared" si="4"/>
        <v>-7.8706665112379059E-2</v>
      </c>
      <c r="P30" s="56">
        <f>ABS(O30*'Assumed Values'!$C$7)</f>
        <v>149.93619703908212</v>
      </c>
      <c r="Q30" s="57">
        <f t="shared" si="1"/>
        <v>25.818337369404986</v>
      </c>
      <c r="T30" s="68">
        <f t="shared" si="5"/>
        <v>2.7010337235100684E-2</v>
      </c>
      <c r="U30" s="69">
        <f>T30*'Assumed Values'!$D$8</f>
        <v>0</v>
      </c>
    </row>
    <row r="31" spans="3:21">
      <c r="F31" s="54">
        <f t="shared" si="2"/>
        <v>2045</v>
      </c>
      <c r="G31" s="63">
        <f>'Inputs &amp; Outputs'!$B$24</f>
        <v>35277</v>
      </c>
      <c r="H31" s="62">
        <f t="shared" si="8"/>
        <v>9.6300346472166787E-3</v>
      </c>
      <c r="I31" s="54">
        <f>IF(AND(F31&gt;='Inputs &amp; Outputs'!B$13,F31&lt;'Inputs &amp; Outputs'!B$13+'Inputs &amp; Outputs'!B$19),1,0)</f>
        <v>1</v>
      </c>
      <c r="J31" s="55">
        <f>I31*'Inputs &amp; Outputs'!B$16*'Benefit Calculations'!G31*('Benefit Calculations'!C$4-'Benefit Calculations'!C$5)</f>
        <v>110.03484295462643</v>
      </c>
      <c r="K31" s="71">
        <f t="shared" si="3"/>
        <v>3.1536115240351319E-2</v>
      </c>
      <c r="L31" s="56">
        <f>K31*'Assumed Values'!$C$8</f>
        <v>236.77315322455769</v>
      </c>
      <c r="M31" s="57">
        <f t="shared" si="0"/>
        <v>38.103990515304353</v>
      </c>
      <c r="N31" s="55">
        <f>I31*'Inputs &amp; Outputs'!B$16*'Benefit Calculations'!G31*('Benefit Calculations'!D$4-'Benefit Calculations'!D$5)</f>
        <v>-290.87548109710758</v>
      </c>
      <c r="O31" s="71">
        <f t="shared" si="4"/>
        <v>-8.3365254551720447E-2</v>
      </c>
      <c r="P31" s="56">
        <f>ABS(O31*'Assumed Values'!$C$7)</f>
        <v>158.81080992102744</v>
      </c>
      <c r="Q31" s="57">
        <f t="shared" si="1"/>
        <v>25.557481971866562</v>
      </c>
      <c r="T31" s="68">
        <f t="shared" si="5"/>
        <v>2.8609059168202871E-2</v>
      </c>
      <c r="U31" s="69">
        <f>T31*'Assumed Values'!$D$8</f>
        <v>0</v>
      </c>
    </row>
    <row r="32" spans="3:21">
      <c r="F32" s="54">
        <f t="shared" si="2"/>
        <v>2046</v>
      </c>
      <c r="G32" s="63">
        <f t="shared" si="6"/>
        <v>35616.718732249865</v>
      </c>
      <c r="H32" s="62">
        <f t="shared" si="8"/>
        <v>9.6300346472166787E-3</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35959.708967661601</v>
      </c>
      <c r="H33" s="62">
        <f t="shared" si="8"/>
        <v>9.6300346472166787E-3</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36306.002210924009</v>
      </c>
      <c r="H34" s="62">
        <f t="shared" si="8"/>
        <v>9.6300346472166787E-3</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36655.63027011713</v>
      </c>
      <c r="H35" s="62">
        <f t="shared" si="8"/>
        <v>9.6300346472166787E-3</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37008.625259633925</v>
      </c>
      <c r="H36" s="62">
        <f t="shared" si="8"/>
        <v>9.6300346472166787E-3</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1923.2448369249062</v>
      </c>
      <c r="K37" s="55">
        <f t="shared" ref="K37:Q37" si="9">SUM(K4:K36)</f>
        <v>0.55120422935201185</v>
      </c>
      <c r="L37" s="58">
        <f t="shared" si="9"/>
        <v>4138.4413539749066</v>
      </c>
      <c r="M37" s="59">
        <f t="shared" si="9"/>
        <v>1334.923621055606</v>
      </c>
      <c r="N37" s="55">
        <f t="shared" si="9"/>
        <v>-5084.0693019277796</v>
      </c>
      <c r="O37" s="55">
        <f t="shared" si="9"/>
        <v>-1.4571002338017671</v>
      </c>
      <c r="P37" s="55">
        <f t="shared" si="9"/>
        <v>2775.7759453923663</v>
      </c>
      <c r="Q37" s="59">
        <f t="shared" si="9"/>
        <v>895.37305456876959</v>
      </c>
      <c r="T37" s="68">
        <f>SUM(T4:T36)</f>
        <v>0.50004365760047575</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55</v>
      </c>
      <c r="F2" s="92" t="s">
        <v>116</v>
      </c>
      <c r="G2" s="92" t="s">
        <v>117</v>
      </c>
      <c r="H2" s="92" t="s">
        <v>118</v>
      </c>
      <c r="I2" s="92" t="s">
        <v>119</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55</v>
      </c>
      <c r="F21" s="92" t="s">
        <v>116</v>
      </c>
      <c r="G21" s="92" t="s">
        <v>117</v>
      </c>
      <c r="H21" s="92" t="s">
        <v>118</v>
      </c>
      <c r="I21" s="92" t="s">
        <v>119</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55</v>
      </c>
      <c r="F2" s="92" t="s">
        <v>116</v>
      </c>
      <c r="G2" s="92" t="s">
        <v>117</v>
      </c>
      <c r="H2" s="92" t="s">
        <v>118</v>
      </c>
      <c r="I2" s="92" t="s">
        <v>119</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55</v>
      </c>
      <c r="F21" s="92" t="s">
        <v>116</v>
      </c>
      <c r="G21" s="92" t="s">
        <v>117</v>
      </c>
      <c r="H21" s="92" t="s">
        <v>118</v>
      </c>
      <c r="I21" s="92" t="s">
        <v>119</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27DFDE-F0D7-4F83-9145-1D4ED9B29BC5}"/>
</file>

<file path=customXml/itemProps2.xml><?xml version="1.0" encoding="utf-8"?>
<ds:datastoreItem xmlns:ds="http://schemas.openxmlformats.org/officeDocument/2006/customXml" ds:itemID="{F3C236F0-35D8-4B62-AF47-B8491E92F64A}"/>
</file>

<file path=customXml/itemProps3.xml><?xml version="1.0" encoding="utf-8"?>
<ds:datastoreItem xmlns:ds="http://schemas.openxmlformats.org/officeDocument/2006/customXml" ds:itemID="{D8C5D08A-2866-4FC0-979D-AEBFF7CCE2EB}"/>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2018-10-26T17:30:06Z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