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5"/>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Access Management/HOU_25_AM_FM2920/"/>
    </mc:Choice>
  </mc:AlternateContent>
  <xr:revisionPtr revIDLastSave="22" documentId="8_{555DD8AD-F574-4ACE-AC64-BC13EAF44F9E}" xr6:coauthVersionLast="40" xr6:coauthVersionMax="40" xr10:uidLastSave="{4F4CB3D7-0065-4087-990C-DA2DF268C8DE}"/>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c r="F18" i="11"/>
  <c r="B20" i="11"/>
  <c r="F19" i="11"/>
  <c r="F20" i="11"/>
  <c r="F21" i="11"/>
  <c r="F22" i="11"/>
  <c r="F23" i="11"/>
  <c r="I4" i="12"/>
  <c r="E6" i="12"/>
  <c r="D19" i="1"/>
  <c r="D20" i="1"/>
  <c r="D18" i="1"/>
  <c r="E7" i="12"/>
  <c r="B7" i="12"/>
  <c r="E5" i="12"/>
  <c r="L12" i="12"/>
  <c r="L4" i="12"/>
  <c r="B9" i="12"/>
  <c r="D12" i="1"/>
  <c r="E10" i="1"/>
  <c r="E11" i="1"/>
  <c r="E6" i="1"/>
  <c r="E12" i="1"/>
  <c r="E7" i="1"/>
  <c r="E9" i="1"/>
  <c r="E4" i="1"/>
  <c r="H5" i="1"/>
  <c r="E8" i="1"/>
  <c r="H6" i="1"/>
  <c r="E5" i="1"/>
  <c r="H4" i="1"/>
  <c r="C21" i="1"/>
  <c r="D21" i="1"/>
  <c r="H7" i="1"/>
  <c r="E10" i="12"/>
  <c r="E9" i="12"/>
  <c r="E8" i="12"/>
  <c r="N4" i="12"/>
  <c r="O4" i="12"/>
  <c r="Q4" i="12"/>
  <c r="E11" i="12"/>
  <c r="E13" i="12"/>
  <c r="E12" i="12"/>
  <c r="M15" i="12"/>
  <c r="M33" i="12"/>
  <c r="M35" i="12"/>
  <c r="M32" i="12"/>
  <c r="M34" i="12"/>
  <c r="M36" i="12"/>
  <c r="M31" i="12"/>
  <c r="M30" i="12"/>
  <c r="M7" i="12"/>
  <c r="M24" i="12"/>
  <c r="M8" i="12"/>
  <c r="M17" i="12"/>
  <c r="M11" i="12"/>
  <c r="M28" i="12"/>
  <c r="M20" i="12"/>
  <c r="M5" i="12"/>
  <c r="I5" i="12"/>
  <c r="M29" i="12"/>
  <c r="M21" i="12"/>
  <c r="M13" i="12"/>
  <c r="M16" i="12"/>
  <c r="M27" i="12"/>
  <c r="M25" i="12"/>
  <c r="M9" i="12"/>
  <c r="M26" i="12"/>
  <c r="M18" i="12"/>
  <c r="M10" i="12"/>
  <c r="M19" i="12"/>
  <c r="M12" i="12"/>
  <c r="M22" i="12"/>
  <c r="M14" i="12"/>
  <c r="M6" i="12"/>
  <c r="M23" i="12"/>
  <c r="H5" i="12"/>
  <c r="I6" i="12"/>
  <c r="I7" i="12"/>
  <c r="I8" i="12"/>
  <c r="I9" i="12"/>
  <c r="I10" i="12"/>
  <c r="I11" i="12"/>
  <c r="Q5" i="12"/>
  <c r="L5" i="12"/>
  <c r="N5" i="12"/>
  <c r="H6" i="12"/>
  <c r="N6" i="12"/>
  <c r="O6" i="12"/>
  <c r="O5"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Q6" i="12"/>
  <c r="L6" i="12"/>
  <c r="H7" i="12"/>
  <c r="B18" i="5"/>
  <c r="E17" i="5"/>
  <c r="B19" i="5"/>
  <c r="E18" i="5"/>
  <c r="G4" i="7"/>
  <c r="H4" i="7"/>
  <c r="G4" i="5"/>
  <c r="G5" i="5"/>
  <c r="G6" i="5"/>
  <c r="G7" i="5"/>
  <c r="G8" i="5"/>
  <c r="G9" i="5"/>
  <c r="G10" i="5"/>
  <c r="G11" i="5"/>
  <c r="G12" i="5"/>
  <c r="G13" i="5"/>
  <c r="G14" i="5"/>
  <c r="B18" i="7"/>
  <c r="G5" i="7"/>
  <c r="H5" i="7"/>
  <c r="B17" i="7"/>
  <c r="B16" i="7"/>
  <c r="E17" i="7"/>
  <c r="N7" i="12"/>
  <c r="O7" i="12"/>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N8" i="12"/>
  <c r="O8" i="12"/>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N9" i="12"/>
  <c r="O9" i="12"/>
  <c r="Q9" i="12"/>
  <c r="H16" i="5"/>
  <c r="I16" i="5"/>
  <c r="J16" i="5"/>
  <c r="K16" i="5"/>
  <c r="G17" i="5"/>
  <c r="I15" i="5"/>
  <c r="G8" i="7"/>
  <c r="H7" i="7"/>
  <c r="I7" i="7"/>
  <c r="J7" i="7"/>
  <c r="R9" i="12"/>
  <c r="H10" i="12"/>
  <c r="J6" i="7"/>
  <c r="J5" i="7"/>
  <c r="J4" i="7"/>
  <c r="N10" i="12"/>
  <c r="O10" i="12"/>
  <c r="L10" i="12"/>
  <c r="H8" i="7"/>
  <c r="I8" i="7"/>
  <c r="J8" i="7"/>
  <c r="G9" i="7"/>
  <c r="G18" i="5"/>
  <c r="H17" i="5"/>
  <c r="J17" i="5"/>
  <c r="K17" i="5"/>
  <c r="Q10" i="12"/>
  <c r="R10" i="12"/>
  <c r="H11" i="12"/>
  <c r="N11" i="12"/>
  <c r="O11" i="12"/>
  <c r="L11" i="12"/>
  <c r="I17" i="5"/>
  <c r="G10" i="7"/>
  <c r="H9" i="7"/>
  <c r="I9" i="7"/>
  <c r="J9" i="7"/>
  <c r="G19" i="5"/>
  <c r="H18" i="5"/>
  <c r="I18" i="5"/>
  <c r="J18" i="5"/>
  <c r="K18" i="5"/>
  <c r="Q11" i="12"/>
  <c r="R11" i="12"/>
  <c r="N12" i="12"/>
  <c r="O12" i="12"/>
  <c r="J19" i="5"/>
  <c r="K19" i="5"/>
  <c r="G20" i="5"/>
  <c r="H19" i="5"/>
  <c r="I19" i="5"/>
  <c r="G11" i="7"/>
  <c r="H10" i="7"/>
  <c r="I10" i="7"/>
  <c r="J10" i="7"/>
  <c r="Q12" i="12"/>
  <c r="R12" i="12"/>
  <c r="H13" i="12"/>
  <c r="L13" i="12"/>
  <c r="N13" i="12"/>
  <c r="O13" i="12"/>
  <c r="H11" i="7"/>
  <c r="I11" i="7"/>
  <c r="J11" i="7"/>
  <c r="G12" i="7"/>
  <c r="J20" i="5"/>
  <c r="K20" i="5"/>
  <c r="G21" i="5"/>
  <c r="H20" i="5"/>
  <c r="Q13" i="12"/>
  <c r="R13" i="12"/>
  <c r="H14" i="12"/>
  <c r="L14" i="12"/>
  <c r="N14" i="12"/>
  <c r="O14" i="12"/>
  <c r="I20" i="5"/>
  <c r="G13" i="7"/>
  <c r="H12" i="7"/>
  <c r="I12" i="7"/>
  <c r="J12" i="7"/>
  <c r="J21" i="5"/>
  <c r="K21" i="5"/>
  <c r="H21" i="5"/>
  <c r="I21" i="5"/>
  <c r="G22" i="5"/>
  <c r="Q14" i="12"/>
  <c r="R14" i="12"/>
  <c r="H15" i="12"/>
  <c r="L15" i="12"/>
  <c r="N15" i="12"/>
  <c r="O15" i="12"/>
  <c r="H13" i="7"/>
  <c r="I13" i="7"/>
  <c r="J13" i="7"/>
  <c r="G14" i="7"/>
  <c r="J22" i="5"/>
  <c r="K22" i="5"/>
  <c r="G23" i="5"/>
  <c r="H22" i="5"/>
  <c r="I22" i="5"/>
  <c r="Q15" i="12"/>
  <c r="R15" i="12"/>
  <c r="H16" i="12"/>
  <c r="L16" i="12"/>
  <c r="N16" i="12"/>
  <c r="O16" i="12"/>
  <c r="H23" i="5"/>
  <c r="I23" i="5"/>
  <c r="J23" i="5"/>
  <c r="K23" i="5"/>
  <c r="G24" i="5"/>
  <c r="H14" i="7"/>
  <c r="I14" i="7"/>
  <c r="J14" i="7"/>
  <c r="G15" i="7"/>
  <c r="Q16" i="12"/>
  <c r="R16" i="12"/>
  <c r="H17" i="12"/>
  <c r="L17" i="12"/>
  <c r="N17" i="12"/>
  <c r="O17" i="12"/>
  <c r="G16" i="7"/>
  <c r="H15" i="7"/>
  <c r="I15" i="7"/>
  <c r="J15" i="7"/>
  <c r="H24" i="5"/>
  <c r="I24" i="5"/>
  <c r="J24" i="5"/>
  <c r="K24" i="5"/>
  <c r="B11" i="5"/>
  <c r="B12" i="5"/>
  <c r="G25" i="5"/>
  <c r="Q17" i="12"/>
  <c r="R17" i="12"/>
  <c r="H18" i="12"/>
  <c r="L18" i="12"/>
  <c r="N18" i="12"/>
  <c r="O18" i="12"/>
  <c r="G26" i="5"/>
  <c r="H25" i="5"/>
  <c r="I25" i="5"/>
  <c r="J25" i="5"/>
  <c r="K25" i="5"/>
  <c r="H16" i="7"/>
  <c r="I16" i="7"/>
  <c r="J16" i="7"/>
  <c r="G17" i="7"/>
  <c r="Q18" i="12"/>
  <c r="R18" i="12"/>
  <c r="H19" i="12"/>
  <c r="L19" i="12"/>
  <c r="N19" i="12"/>
  <c r="O19" i="12"/>
  <c r="H17" i="7"/>
  <c r="I17" i="7"/>
  <c r="J17" i="7"/>
  <c r="G18" i="7"/>
  <c r="G27" i="5"/>
  <c r="H26" i="5"/>
  <c r="I26" i="5"/>
  <c r="J26" i="5"/>
  <c r="K26" i="5"/>
  <c r="Q19" i="12"/>
  <c r="R19" i="12"/>
  <c r="H20" i="12"/>
  <c r="N20" i="12"/>
  <c r="O20" i="12"/>
  <c r="L20" i="12"/>
  <c r="B29" i="11"/>
  <c r="G29" i="11"/>
  <c r="J27" i="5"/>
  <c r="K27" i="5"/>
  <c r="G28" i="5"/>
  <c r="H27" i="5"/>
  <c r="I27" i="5"/>
  <c r="G19" i="7"/>
  <c r="H18" i="7"/>
  <c r="I18" i="7"/>
  <c r="J18" i="7"/>
  <c r="Q20" i="12"/>
  <c r="R20" i="12"/>
  <c r="H21" i="12"/>
  <c r="L21" i="12"/>
  <c r="N21" i="12"/>
  <c r="O21" i="12"/>
  <c r="F4" i="12"/>
  <c r="F29" i="11"/>
  <c r="E4" i="12"/>
  <c r="G29" i="5"/>
  <c r="H28" i="5"/>
  <c r="I28" i="5"/>
  <c r="J28" i="5"/>
  <c r="K28" i="5"/>
  <c r="H19" i="7"/>
  <c r="I19" i="7"/>
  <c r="J19" i="7"/>
  <c r="G20" i="7"/>
  <c r="Q21" i="12"/>
  <c r="R21" i="12"/>
  <c r="H22" i="12"/>
  <c r="L22" i="12"/>
  <c r="N22" i="12"/>
  <c r="O22" i="12"/>
  <c r="K4" i="12"/>
  <c r="K5" i="12"/>
  <c r="K6" i="12"/>
  <c r="K7" i="12"/>
  <c r="K8" i="12"/>
  <c r="K9" i="12"/>
  <c r="K10" i="12"/>
  <c r="K11" i="12"/>
  <c r="K12" i="12"/>
  <c r="K13" i="12"/>
  <c r="K14" i="12"/>
  <c r="K15" i="12"/>
  <c r="K16" i="12"/>
  <c r="K17" i="12"/>
  <c r="K18" i="12"/>
  <c r="K19" i="12"/>
  <c r="K20" i="12"/>
  <c r="K21" i="12"/>
  <c r="K22" i="12"/>
  <c r="J4" i="12"/>
  <c r="G21" i="7"/>
  <c r="H20" i="7"/>
  <c r="I20" i="7"/>
  <c r="J20" i="7"/>
  <c r="J29" i="5"/>
  <c r="K29" i="5"/>
  <c r="H29" i="5"/>
  <c r="Q22" i="12"/>
  <c r="R22" i="12"/>
  <c r="H23" i="12"/>
  <c r="L23" i="12"/>
  <c r="N23" i="12"/>
  <c r="O23" i="12"/>
  <c r="P4" i="12"/>
  <c r="S4" i="12"/>
  <c r="T4" i="12"/>
  <c r="J5" i="12"/>
  <c r="K23" i="12"/>
  <c r="I29" i="5"/>
  <c r="B13" i="5"/>
  <c r="H21" i="7"/>
  <c r="I21" i="7"/>
  <c r="J21" i="7"/>
  <c r="G22" i="7"/>
  <c r="Q23" i="12"/>
  <c r="R23" i="12"/>
  <c r="H24" i="12"/>
  <c r="L24" i="12"/>
  <c r="N24" i="12"/>
  <c r="O24" i="12"/>
  <c r="P5" i="12"/>
  <c r="S5" i="12"/>
  <c r="T5" i="12"/>
  <c r="J6" i="12"/>
  <c r="P6" i="12"/>
  <c r="K24" i="12"/>
  <c r="H22" i="7"/>
  <c r="I22" i="7"/>
  <c r="J22" i="7"/>
  <c r="G23" i="7"/>
  <c r="Q24" i="12"/>
  <c r="R24" i="12"/>
  <c r="H25" i="12"/>
  <c r="L25" i="12"/>
  <c r="N25" i="12"/>
  <c r="O25" i="12"/>
  <c r="J7" i="12"/>
  <c r="S6" i="12"/>
  <c r="T6" i="12"/>
  <c r="K25" i="12"/>
  <c r="G24" i="7"/>
  <c r="H23" i="7"/>
  <c r="I23" i="7"/>
  <c r="J23" i="7"/>
  <c r="Q25" i="12"/>
  <c r="R25" i="12"/>
  <c r="H26" i="12"/>
  <c r="L26" i="12"/>
  <c r="N26" i="12"/>
  <c r="O26" i="12"/>
  <c r="J8" i="12"/>
  <c r="P8" i="12"/>
  <c r="P7" i="12"/>
  <c r="S7" i="12"/>
  <c r="T7" i="12"/>
  <c r="K26" i="12"/>
  <c r="H24" i="7"/>
  <c r="I24" i="7"/>
  <c r="J24" i="7"/>
  <c r="G25" i="7"/>
  <c r="Q26" i="12"/>
  <c r="R26" i="12"/>
  <c r="H27" i="12"/>
  <c r="L27" i="12"/>
  <c r="N27" i="12"/>
  <c r="O27" i="12"/>
  <c r="S8" i="12"/>
  <c r="T8" i="12"/>
  <c r="J9" i="12"/>
  <c r="K27" i="12"/>
  <c r="G26" i="7"/>
  <c r="H25" i="7"/>
  <c r="I25" i="7"/>
  <c r="J25" i="7"/>
  <c r="Q27" i="12"/>
  <c r="R27" i="12"/>
  <c r="H28" i="12"/>
  <c r="L28" i="12"/>
  <c r="P9" i="12"/>
  <c r="S9" i="12"/>
  <c r="T9" i="12"/>
  <c r="J10" i="12"/>
  <c r="N28" i="12"/>
  <c r="O28" i="12"/>
  <c r="K28" i="12"/>
  <c r="G27" i="7"/>
  <c r="H26" i="7"/>
  <c r="I26" i="7"/>
  <c r="J26" i="7"/>
  <c r="Q28" i="12"/>
  <c r="R28" i="12"/>
  <c r="H29" i="12"/>
  <c r="L29" i="12"/>
  <c r="P10" i="12"/>
  <c r="S10" i="12"/>
  <c r="T10" i="12"/>
  <c r="J11" i="12"/>
  <c r="N29" i="12"/>
  <c r="O29" i="12"/>
  <c r="K29" i="12"/>
  <c r="H27" i="7"/>
  <c r="I27" i="7"/>
  <c r="J27" i="7"/>
  <c r="G28" i="7"/>
  <c r="R29" i="12"/>
  <c r="H30" i="12"/>
  <c r="L30" i="12"/>
  <c r="Q29" i="12"/>
  <c r="J12" i="12"/>
  <c r="P11" i="12"/>
  <c r="S11" i="12"/>
  <c r="T11" i="12"/>
  <c r="N30" i="12"/>
  <c r="O30" i="12"/>
  <c r="K30" i="12"/>
  <c r="H28" i="7"/>
  <c r="I28" i="7"/>
  <c r="J28" i="7"/>
  <c r="G29" i="7"/>
  <c r="Q30" i="12"/>
  <c r="H31" i="12"/>
  <c r="L31" i="12"/>
  <c r="R30" i="12"/>
  <c r="P12" i="12"/>
  <c r="S12" i="12"/>
  <c r="T12" i="12"/>
  <c r="J13" i="12"/>
  <c r="N31" i="12"/>
  <c r="O31" i="12"/>
  <c r="K31" i="12"/>
  <c r="H32" i="12"/>
  <c r="L32" i="12"/>
  <c r="H29" i="7"/>
  <c r="I29" i="7"/>
  <c r="J29" i="7"/>
  <c r="B11" i="7"/>
  <c r="B12" i="7"/>
  <c r="Q31" i="12"/>
  <c r="R31" i="12"/>
  <c r="P13" i="12"/>
  <c r="S13" i="12"/>
  <c r="T13" i="12"/>
  <c r="J14" i="12"/>
  <c r="N32" i="12"/>
  <c r="O32" i="12"/>
  <c r="R32" i="12"/>
  <c r="Q32" i="12"/>
  <c r="H33" i="12"/>
  <c r="L33" i="12"/>
  <c r="K32" i="12"/>
  <c r="J15" i="12"/>
  <c r="P14" i="12"/>
  <c r="S14" i="12"/>
  <c r="T14" i="12"/>
  <c r="N33" i="12"/>
  <c r="O33" i="12"/>
  <c r="H34" i="12"/>
  <c r="L34" i="12"/>
  <c r="R33" i="12"/>
  <c r="Q33" i="12"/>
  <c r="K33" i="12"/>
  <c r="P15" i="12"/>
  <c r="S15" i="12"/>
  <c r="T15" i="12"/>
  <c r="J16" i="12"/>
  <c r="N34" i="12"/>
  <c r="O34" i="12"/>
  <c r="H35" i="12"/>
  <c r="L35" i="12"/>
  <c r="R34" i="12"/>
  <c r="K34" i="12"/>
  <c r="Q34" i="12"/>
  <c r="P16" i="12"/>
  <c r="S16" i="12"/>
  <c r="T16" i="12"/>
  <c r="J17" i="12"/>
  <c r="N35" i="12"/>
  <c r="O35" i="12"/>
  <c r="R35" i="12"/>
  <c r="Q35" i="12"/>
  <c r="K35" i="12"/>
  <c r="H36" i="12"/>
  <c r="L36" i="12"/>
  <c r="P17" i="12"/>
  <c r="S17" i="12"/>
  <c r="T17" i="12"/>
  <c r="J18" i="12"/>
  <c r="N36" i="12"/>
  <c r="O36" i="12"/>
  <c r="R36" i="12"/>
  <c r="Q36" i="12"/>
  <c r="K36" i="12"/>
  <c r="P18" i="12"/>
  <c r="S18" i="12"/>
  <c r="T18" i="12"/>
  <c r="J19" i="12"/>
  <c r="J20" i="12"/>
  <c r="P19" i="12"/>
  <c r="S19" i="12"/>
  <c r="T19" i="12"/>
  <c r="P20" i="12"/>
  <c r="S20" i="12"/>
  <c r="T20" i="12"/>
  <c r="J21" i="12"/>
  <c r="J22" i="12"/>
  <c r="P21" i="12"/>
  <c r="S21" i="12"/>
  <c r="T21" i="12"/>
  <c r="J23" i="12"/>
  <c r="P22" i="12"/>
  <c r="S22" i="12"/>
  <c r="T22" i="12"/>
  <c r="J24" i="12"/>
  <c r="P23" i="12"/>
  <c r="S23" i="12"/>
  <c r="T23" i="12"/>
  <c r="P24" i="12"/>
  <c r="S24" i="12"/>
  <c r="T24" i="12"/>
  <c r="J25" i="12"/>
  <c r="P25" i="12"/>
  <c r="S25" i="12"/>
  <c r="T25" i="12"/>
  <c r="J26" i="12"/>
  <c r="J27" i="12"/>
  <c r="P26" i="12"/>
  <c r="S26" i="12"/>
  <c r="T26" i="12"/>
  <c r="P27" i="12"/>
  <c r="S27" i="12"/>
  <c r="T27" i="12"/>
  <c r="J28" i="12"/>
  <c r="P28" i="12"/>
  <c r="S28" i="12"/>
  <c r="T28" i="12"/>
  <c r="J29" i="12"/>
  <c r="P29" i="12"/>
  <c r="S29" i="12"/>
  <c r="T29" i="12"/>
  <c r="J30" i="12"/>
  <c r="P30" i="12"/>
  <c r="S30" i="12"/>
  <c r="T30" i="12"/>
  <c r="J31" i="12"/>
  <c r="P31" i="12"/>
  <c r="S31" i="12"/>
  <c r="T31" i="12"/>
  <c r="J32" i="12"/>
  <c r="P32" i="12"/>
  <c r="S32" i="12"/>
  <c r="T32" i="12"/>
  <c r="J33" i="12"/>
  <c r="P33" i="12"/>
  <c r="S33" i="12"/>
  <c r="T33" i="12"/>
  <c r="J34" i="12"/>
  <c r="P34" i="12"/>
  <c r="S34" i="12"/>
  <c r="T34" i="12"/>
  <c r="J35" i="12"/>
  <c r="P35" i="12"/>
  <c r="S35" i="12"/>
  <c r="T35" i="12"/>
  <c r="J36" i="12"/>
  <c r="P36" i="12"/>
  <c r="S36" i="12"/>
  <c r="T36" i="12"/>
  <c r="T37" i="12"/>
  <c r="B46" i="11"/>
</calcChain>
</file>

<file path=xl/sharedStrings.xml><?xml version="1.0" encoding="utf-8"?>
<sst xmlns="http://schemas.openxmlformats.org/spreadsheetml/2006/main" count="292" uniqueCount="238">
  <si>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</si>
  <si>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</si>
  <si>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</si>
  <si>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</si>
  <si>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</si>
  <si>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</si>
  <si>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</si>
  <si>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</si>
  <si>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</si>
  <si>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</si>
  <si>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</si>
  <si>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</si>
  <si>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</si>
  <si>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</si>
  <si>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</si>
  <si>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</si>
  <si>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</si>
  <si>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</si>
  <si>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</si>
  <si>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</si>
  <si>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</si>
  <si>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</si>
  <si>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</si>
  <si>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</si>
  <si>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</si>
  <si>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</si>
  <si>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</si>
  <si>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</si>
  <si>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</si>
  <si>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</si>
  <si>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</si>
  <si>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</si>
  <si>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</si>
  <si>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</si>
  <si>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</si>
  <si>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</si>
  <si>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</si>
  <si>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</si>
  <si>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</si>
  <si>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</si>
  <si>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</si>
  <si>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</si>
  <si>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</si>
  <si>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</si>
  <si>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</si>
  <si>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</si>
  <si>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</si>
  <si>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</si>
  <si>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</si>
  <si>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2920 Access Management</t>
  </si>
  <si>
    <t>Data entered by the sponsors</t>
  </si>
  <si>
    <t>County</t>
  </si>
  <si>
    <t>Harris</t>
  </si>
  <si>
    <t>HGAC regional travel demand model data provided by HGAC</t>
  </si>
  <si>
    <t>Facility Type</t>
  </si>
  <si>
    <t>Non Freeway</t>
  </si>
  <si>
    <t>Data populated/calculated based on inputs</t>
  </si>
  <si>
    <t>Street Name:</t>
  </si>
  <si>
    <t>FM 2920</t>
  </si>
  <si>
    <t>Benefits calculated by the template</t>
  </si>
  <si>
    <t>Limits (From)</t>
  </si>
  <si>
    <t>Kuykendahl Rd</t>
  </si>
  <si>
    <t>Limits (To)</t>
  </si>
  <si>
    <t>Lexington Rd</t>
  </si>
  <si>
    <t>Length (in Miles)</t>
  </si>
  <si>
    <t>Application ID Number:</t>
  </si>
  <si>
    <t>Sponsor ID Number (CSJ, etc.):</t>
  </si>
  <si>
    <t>No</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</si>
  <si>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</si>
  <si>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</si>
  <si>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</si>
  <si>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</si>
  <si>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</si>
  <si>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Access Management</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</si>
  <si>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</si>
  <si>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</si>
  <si>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</si>
  <si>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</si>
  <si>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</si>
  <si>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</si>
  <si>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</si>
  <si>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</si>
  <si>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</si>
  <si>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</si>
  <si>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</si>
  <si>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</si>
  <si>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</si>
  <si>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</si>
  <si>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</si>
  <si>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</si>
  <si>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</si>
  <si>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</si>
  <si>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</si>
  <si>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</si>
  <si>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</si>
  <si>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</si>
  <si>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</si>
  <si>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</si>
  <si>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</si>
  <si>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</si>
  <si>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</si>
  <si>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</si>
  <si>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</si>
  <si>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</si>
  <si>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</si>
  <si>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</si>
  <si>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</si>
  <si>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</si>
  <si>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</si>
  <si>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</si>
  <si>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</si>
  <si>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</si>
  <si>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</si>
  <si>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</si>
  <si>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</si>
  <si>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</si>
  <si>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</si>
  <si>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</si>
  <si>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</si>
  <si>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</si>
  <si>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</si>
  <si>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</si>
  <si>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</si>
  <si>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Freeway</t>
  </si>
  <si>
    <t>2025-2045 V/C Growth</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</si>
  <si>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</si>
  <si>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</si>
  <si>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</si>
  <si>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</si>
  <si>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</si>
  <si>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</si>
  <si>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</si>
  <si>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</si>
  <si>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</si>
  <si>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</si>
  <si>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</si>
  <si>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</si>
  <si>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</si>
  <si>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</si>
  <si>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</si>
  <si>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</si>
  <si>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</si>
  <si>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</si>
  <si>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</si>
  <si>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</si>
  <si>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</si>
  <si>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</si>
  <si>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</si>
  <si>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</si>
  <si>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</si>
  <si>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</si>
  <si>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</si>
  <si>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</si>
  <si>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</si>
  <si>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</si>
  <si>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</si>
  <si>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</si>
  <si>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Brazoria</t>
  </si>
  <si>
    <t>Chambers</t>
  </si>
  <si>
    <t>Bottleneck Removal</t>
  </si>
  <si>
    <t>Fort Bend</t>
  </si>
  <si>
    <t xml:space="preserve">Freight Shuttle System </t>
  </si>
  <si>
    <t>Galveston</t>
  </si>
  <si>
    <t xml:space="preserve">Grade Separation </t>
  </si>
  <si>
    <t xml:space="preserve">Managed HOT/HOV Lanes </t>
  </si>
  <si>
    <t>Liberty</t>
  </si>
  <si>
    <t xml:space="preserve">Adding New Lanes or Roads </t>
  </si>
  <si>
    <t>Montgomery</t>
  </si>
  <si>
    <t>Adding New Toll Roads</t>
  </si>
  <si>
    <t>Waller</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</si>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</sst>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ill="1" applyBorder="1" applyAlignment="1" applyProtection="1">
      <alignment horizontal="center"/>
      <protection locked="0"/>
    </xf>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9" fontId="0" fillId="0" borderId="0" xfId="0" applyNumberFormat="1"/>
    <xf numFmtId="0" fontId="0" fillId="0" borderId="1" xfId="0" applyBorder="1" applyAlignment="1">
      <alignment vertical="top"/>
    </xf>
    <xf numFmtId="165" fontId="0" fillId="0" borderId="1" xfId="0" applyNumberFormat="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7" fontId="0" fillId="13" borderId="1" xfId="0" applyNumberFormat="1" applyFill="1" applyBorder="1" applyAlignment="1" applyProtection="1">
      <alignment horizontal="center"/>
      <protection locked="0"/>
    </xf>
    <xf numFmtId="165" fontId="0" fillId="8" borderId="1" xfId="2" applyNumberFormat="1" applyFont="1" applyFill="1" applyBorder="1" applyAlignment="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9" fontId="0" fillId="0" borderId="1" xfId="0" applyNumberFormat="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169" fontId="0" fillId="11" borderId="1" xfId="3" applyNumberFormat="1" applyFont="1" applyFill="1" applyBorder="1"/>
    <xf numFmtId="0" fontId="0" fillId="8" borderId="1" xfId="0" applyFill="1" applyBorder="1" applyAlignment="1">
      <alignment horizontal="center"/>
    </xf>
    <xf numFmtId="3" fontId="0" fillId="8" borderId="1" xfId="0" applyNumberFormat="1" applyFill="1" applyBorder="1" applyAlignment="1">
      <alignment horizontal="center"/>
    </xf>
    <xf numFmtId="169" fontId="0" fillId="0" borderId="1" xfId="3" applyNumberFormat="1" applyFont="1" applyBorder="1"/>
    <xf numFmtId="164" fontId="0" fillId="0" borderId="0" xfId="1" applyNumberFormat="1" applyFont="1"/>
    <xf numFmtId="164" fontId="3" fillId="0" borderId="0" xfId="0" applyNumberFormat="1" applyFont="1"/>
    <xf numFmtId="0" fontId="5" fillId="0" borderId="0" xfId="0" applyFont="1" applyAlignment="1">
      <alignment horizontal="right"/>
    </xf>
    <xf numFmtId="0" fontId="0" fillId="0" borderId="0" xfId="0" applyAlignment="1">
      <alignment horizontal="left"/>
    </xf>
    <xf numFmtId="44" fontId="0" fillId="0" borderId="0" xfId="2" applyFont="1"/>
    <xf numFmtId="44" fontId="0" fillId="0" borderId="0" xfId="0" applyNumberFormat="1"/>
    <xf numFmtId="0" fontId="0" fillId="10" borderId="0" xfId="0" applyFill="1"/>
    <xf numFmtId="8" fontId="0" fillId="0" borderId="0" xfId="0" applyNumberFormat="1"/>
    <xf numFmtId="165" fontId="0" fillId="0" borderId="1" xfId="2" applyNumberFormat="1" applyFont="1" applyBorder="1" applyAlignment="1">
      <alignment horizontal="center"/>
    </xf>
    <xf numFmtId="10" fontId="0" fillId="0" borderId="1" xfId="3" applyNumberFormat="1" applyFont="1" applyBorder="1"/>
    <xf numFmtId="2" fontId="0" fillId="0" borderId="1" xfId="0" applyNumberFormat="1" applyBorder="1"/>
    <xf numFmtId="0" fontId="3" fillId="14" borderId="1" xfId="0" applyFont="1" applyFill="1" applyBorder="1" applyAlignment="1">
      <alignment horizontal="left" vertical="center" wrapText="1"/>
    </xf>
    <xf numFmtId="0" fontId="0" fillId="3" borderId="1" xfId="0"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ill="1" applyBorder="1" applyAlignment="1">
      <alignment horizontal="center"/>
    </xf>
    <xf numFmtId="0" fontId="0" fillId="14" borderId="1" xfId="0" applyFill="1" applyBorder="1" applyAlignment="1">
      <alignment horizontal="center"/>
    </xf>
    <xf numFmtId="3" fontId="0" fillId="14" borderId="1" xfId="0" applyNumberFormat="1" applyFill="1" applyBorder="1" applyAlignment="1" applyProtection="1">
      <alignment horizontal="center"/>
      <protection locked="0"/>
    </xf>
    <xf numFmtId="3" fontId="0" fillId="14" borderId="1" xfId="0" applyNumberFormat="1" applyFill="1" applyBorder="1" applyAlignment="1">
      <alignment horizontal="center"/>
    </xf>
    <xf numFmtId="165" fontId="0" fillId="14" borderId="1" xfId="0" applyNumberFormat="1" applyFill="1" applyBorder="1" applyAlignment="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Border="1" applyAlignment="1">
      <alignment vertical="top" wrapText="1"/>
    </xf>
    <xf numFmtId="9" fontId="0" fillId="0" borderId="1" xfId="0" applyNumberFormat="1" applyBorder="1"/>
    <xf numFmtId="0" fontId="12" fillId="0" borderId="1" xfId="0" applyFont="1" applyBorder="1" applyAlignment="1">
      <alignment vertical="top" wrapText="1"/>
    </xf>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3" fontId="0" fillId="9" borderId="1" xfId="0" applyNumberFormat="1" applyFill="1" applyBorder="1" applyAlignment="1">
      <alignment horizontal="center"/>
    </xf>
    <xf numFmtId="0" fontId="2" fillId="10" borderId="1" xfId="0" applyFont="1" applyFill="1" applyBorder="1" applyAlignment="1">
      <alignment horizontal="center" wrapText="1"/>
    </xf>
    <xf numFmtId="9" fontId="0" fillId="0" borderId="1" xfId="0" applyNumberFormat="1" applyBorder="1" applyAlignment="1">
      <alignment horizontal="center"/>
    </xf>
    <xf numFmtId="3" fontId="0" fillId="0" borderId="0" xfId="0" applyNumberFormat="1" applyProtection="1">
      <protection locked="0"/>
    </xf>
    <xf numFmtId="3" fontId="0" fillId="19" borderId="1" xfId="0" applyNumberFormat="1" applyFill="1" applyBorder="1" applyAlignment="1">
      <alignment horizontal="center" vertical="center"/>
    </xf>
    <xf numFmtId="3" fontId="0" fillId="19" borderId="3" xfId="0" applyNumberFormat="1" applyFill="1" applyBorder="1" applyAlignment="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Alignment="1">
      <alignment horizontal="left" vertical="center" wrapText="1"/>
    </xf>
    <xf numFmtId="3" fontId="0" fillId="0" borderId="0" xfId="0" applyNumberFormat="1"/>
    <xf numFmtId="0" fontId="0" fillId="0" borderId="5" xfId="0" applyBorder="1" applyProtection="1">
      <protection locked="0"/>
    </xf>
    <xf numFmtId="3" fontId="0" fillId="19" borderId="1" xfId="0" applyNumberFormat="1" applyFill="1" applyBorder="1"/>
    <xf numFmtId="0" fontId="8" fillId="0" borderId="5" xfId="0" applyFont="1"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Alignment="1" applyProtection="1">
      <alignment vertical="center" wrapText="1"/>
      <protection locked="0"/>
    </xf>
    <xf numFmtId="0" fontId="9" fillId="0" borderId="0" xfId="0" applyFont="1" applyProtection="1">
      <protection locked="0"/>
    </xf>
    <xf numFmtId="0" fontId="6" fillId="0" borderId="0" xfId="0" applyFont="1" applyAlignment="1" applyProtection="1">
      <alignment horizontal="center"/>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lignment horizontal="center" vertical="center"/>
    </xf>
    <xf numFmtId="170" fontId="0" fillId="19" borderId="1" xfId="0" applyNumberFormat="1" applyFill="1" applyBorder="1" applyAlignment="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lignment vertical="center"/>
    </xf>
    <xf numFmtId="3" fontId="0" fillId="3" borderId="1" xfId="0" applyNumberFormat="1" applyFill="1" applyBorder="1" applyAlignment="1" applyProtection="1">
      <alignment vertical="center"/>
      <protection locked="0"/>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xr3:uid="{AEA406A1-0E4B-5B11-9CD5-51D6E497D94C}">
      <selection activeCell="O14" sqref="O14"/>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8" t="s">
        <v>0</v>
      </c>
      <c r="D3" s="8" t="s">
        <v>1</v>
      </c>
      <c r="E3" s="9" t="s">
        <v>2</v>
      </c>
      <c r="G3" s="15" t="s">
        <v>3</v>
      </c>
      <c r="H3" s="15"/>
      <c r="I3" s="15" t="s">
        <v>4</v>
      </c>
      <c r="J3" s="15" t="s">
        <v>5</v>
      </c>
    </row>
    <row r="4" spans="1:10">
      <c r="A4" s="6" t="s">
        <v>6</v>
      </c>
      <c r="B4" s="7"/>
      <c r="D4" s="6" t="s">
        <v>7</v>
      </c>
      <c r="E4" s="7">
        <v>2015</v>
      </c>
      <c r="G4" s="13">
        <f>E4</f>
        <v>2015</v>
      </c>
      <c r="H4" s="13">
        <f>IF(G4&lt;2041,1,0)</f>
        <v>1</v>
      </c>
      <c r="I4" s="23">
        <f>IF($G4&lt;($G$4+$E$5),$E$17,0)*H4</f>
        <v>0</v>
      </c>
      <c r="J4" s="32">
        <f>I4*$B$18*$B$19/10^3</f>
        <v>0</v>
      </c>
    </row>
    <row r="5" spans="1:10">
      <c r="A5" s="6" t="s">
        <v>8</v>
      </c>
      <c r="B5" s="7"/>
      <c r="D5" s="6" t="s">
        <v>9</v>
      </c>
      <c r="E5" s="10">
        <v>10</v>
      </c>
      <c r="G5" s="14">
        <f t="shared" ref="G5:G29" si="0">G4+1</f>
        <v>2016</v>
      </c>
      <c r="H5" s="14">
        <f t="shared" ref="H5:H29" si="1">IF(G5&lt;2041,1,0)</f>
        <v>1</v>
      </c>
      <c r="I5" s="23">
        <f t="shared" ref="I5:I29" si="2">IF($G5&lt;($G$4+$E$5),$E$17,0)*H5</f>
        <v>0</v>
      </c>
      <c r="J5" s="38">
        <f t="shared" ref="J5:J24" si="3">I5*$B$18*$B$19/10^3</f>
        <v>0</v>
      </c>
    </row>
    <row r="6" spans="1:10">
      <c r="A6" s="6" t="s">
        <v>10</v>
      </c>
      <c r="B6" s="7">
        <v>1</v>
      </c>
      <c r="D6" s="128" t="s">
        <v>11</v>
      </c>
      <c r="E6" s="129"/>
      <c r="G6" s="13">
        <f t="shared" si="0"/>
        <v>2017</v>
      </c>
      <c r="H6" s="13">
        <f t="shared" si="1"/>
        <v>1</v>
      </c>
      <c r="I6" s="23">
        <f t="shared" si="2"/>
        <v>0</v>
      </c>
      <c r="J6" s="32">
        <f t="shared" si="3"/>
        <v>0</v>
      </c>
    </row>
    <row r="7" spans="1:10">
      <c r="A7" s="6" t="s">
        <v>12</v>
      </c>
      <c r="B7" s="24"/>
      <c r="D7" s="6" t="s">
        <v>13</v>
      </c>
      <c r="E7" s="10"/>
      <c r="G7" s="14">
        <f t="shared" si="0"/>
        <v>2018</v>
      </c>
      <c r="H7" s="14">
        <f t="shared" si="1"/>
        <v>1</v>
      </c>
      <c r="I7" s="23">
        <f t="shared" si="2"/>
        <v>0</v>
      </c>
      <c r="J7" s="38">
        <f t="shared" si="3"/>
        <v>0</v>
      </c>
    </row>
    <row r="8" spans="1:10">
      <c r="A8" s="6" t="s">
        <v>14</v>
      </c>
      <c r="B8" s="24"/>
      <c r="D8" s="6" t="s">
        <v>15</v>
      </c>
      <c r="E8" s="42">
        <v>1.1499999999999999</v>
      </c>
      <c r="G8" s="13">
        <f t="shared" si="0"/>
        <v>2019</v>
      </c>
      <c r="H8" s="13">
        <f t="shared" si="1"/>
        <v>1</v>
      </c>
      <c r="I8" s="23">
        <f t="shared" si="2"/>
        <v>0</v>
      </c>
      <c r="J8" s="32">
        <f t="shared" si="3"/>
        <v>0</v>
      </c>
    </row>
    <row r="9" spans="1:10">
      <c r="G9" s="14">
        <f t="shared" si="0"/>
        <v>2020</v>
      </c>
      <c r="H9" s="14">
        <f t="shared" si="1"/>
        <v>1</v>
      </c>
      <c r="I9" s="23">
        <f t="shared" si="2"/>
        <v>0</v>
      </c>
      <c r="J9" s="38">
        <f t="shared" si="3"/>
        <v>0</v>
      </c>
    </row>
    <row r="10" spans="1:10">
      <c r="A10" s="12" t="s">
        <v>16</v>
      </c>
      <c r="G10" s="13">
        <f t="shared" si="0"/>
        <v>2021</v>
      </c>
      <c r="H10" s="13">
        <f t="shared" si="1"/>
        <v>1</v>
      </c>
      <c r="I10" s="23">
        <f t="shared" si="2"/>
        <v>0</v>
      </c>
      <c r="J10" s="32">
        <f t="shared" si="3"/>
        <v>0</v>
      </c>
    </row>
    <row r="11" spans="1:10">
      <c r="A11" s="11" t="s">
        <v>17</v>
      </c>
      <c r="B11" s="40">
        <f>NPV($B$17,J4:J29)/(1+$B$17)^(E4-B16+1)</f>
        <v>0</v>
      </c>
      <c r="G11" s="14">
        <f t="shared" si="0"/>
        <v>2022</v>
      </c>
      <c r="H11" s="14">
        <f t="shared" si="1"/>
        <v>1</v>
      </c>
      <c r="I11" s="23">
        <f t="shared" si="2"/>
        <v>0</v>
      </c>
      <c r="J11" s="38">
        <f t="shared" si="3"/>
        <v>0</v>
      </c>
    </row>
    <row r="12" spans="1:10">
      <c r="A12" s="11" t="s">
        <v>18</v>
      </c>
      <c r="B12" s="37" t="e">
        <f>B11/B7</f>
        <v>#DIV/0!</v>
      </c>
      <c r="G12" s="13">
        <f t="shared" si="0"/>
        <v>2023</v>
      </c>
      <c r="H12" s="13">
        <f t="shared" si="1"/>
        <v>1</v>
      </c>
      <c r="I12" s="23">
        <f t="shared" si="2"/>
        <v>0</v>
      </c>
      <c r="J12" s="32">
        <f t="shared" si="3"/>
        <v>0</v>
      </c>
    </row>
    <row r="13" spans="1:10">
      <c r="G13" s="14">
        <f t="shared" si="0"/>
        <v>2024</v>
      </c>
      <c r="H13" s="14">
        <f t="shared" si="1"/>
        <v>1</v>
      </c>
      <c r="I13" s="23">
        <f t="shared" si="2"/>
        <v>0</v>
      </c>
      <c r="J13" s="38">
        <f t="shared" si="3"/>
        <v>0</v>
      </c>
    </row>
    <row r="14" spans="1:10">
      <c r="G14" s="13">
        <f>G13+1</f>
        <v>2025</v>
      </c>
      <c r="H14" s="13">
        <f t="shared" si="1"/>
        <v>1</v>
      </c>
      <c r="I14" s="23">
        <f t="shared" si="2"/>
        <v>0</v>
      </c>
      <c r="J14" s="32">
        <f t="shared" si="3"/>
        <v>0</v>
      </c>
    </row>
    <row r="15" spans="1:10">
      <c r="A15" s="16" t="s">
        <v>19</v>
      </c>
      <c r="G15" s="14">
        <f t="shared" si="0"/>
        <v>2026</v>
      </c>
      <c r="H15" s="14">
        <f t="shared" si="1"/>
        <v>1</v>
      </c>
      <c r="I15" s="23">
        <f t="shared" si="2"/>
        <v>0</v>
      </c>
      <c r="J15" s="38">
        <f t="shared" si="3"/>
        <v>0</v>
      </c>
    </row>
    <row r="16" spans="1:10">
      <c r="A16" s="17" t="s">
        <v>20</v>
      </c>
      <c r="B16" s="17">
        <f>'Assumed Values'!C5</f>
        <v>2018</v>
      </c>
      <c r="D16" s="16" t="s">
        <v>21</v>
      </c>
      <c r="E16" s="25" t="s">
        <v>2</v>
      </c>
      <c r="G16" s="13">
        <f t="shared" si="0"/>
        <v>2027</v>
      </c>
      <c r="H16" s="13">
        <f t="shared" si="1"/>
        <v>1</v>
      </c>
      <c r="I16" s="23">
        <f t="shared" si="2"/>
        <v>0</v>
      </c>
      <c r="J16" s="32">
        <f t="shared" si="3"/>
        <v>0</v>
      </c>
    </row>
    <row r="17" spans="1:10">
      <c r="A17" s="17" t="s">
        <v>22</v>
      </c>
      <c r="B17" s="18">
        <f>'Assumed Values'!C6</f>
        <v>7.0000000000000007E-2</v>
      </c>
      <c r="D17" s="20" t="s">
        <v>23</v>
      </c>
      <c r="E17" s="21">
        <f>E7/E8</f>
        <v>0</v>
      </c>
      <c r="G17" s="14">
        <f t="shared" si="0"/>
        <v>2028</v>
      </c>
      <c r="H17" s="14">
        <f t="shared" si="1"/>
        <v>1</v>
      </c>
      <c r="I17" s="23">
        <f t="shared" si="2"/>
        <v>0</v>
      </c>
      <c r="J17" s="38">
        <f t="shared" si="3"/>
        <v>0</v>
      </c>
    </row>
    <row r="18" spans="1:10">
      <c r="A18" s="17" t="s">
        <v>24</v>
      </c>
      <c r="B18" s="17">
        <f>IF(B6=2,2.1, 1.1)</f>
        <v>1.1000000000000001</v>
      </c>
      <c r="G18" s="13">
        <f t="shared" si="0"/>
        <v>2029</v>
      </c>
      <c r="H18" s="13">
        <f t="shared" si="1"/>
        <v>1</v>
      </c>
      <c r="I18" s="23">
        <f t="shared" si="2"/>
        <v>0</v>
      </c>
      <c r="J18" s="32">
        <f t="shared" si="3"/>
        <v>0</v>
      </c>
    </row>
    <row r="19" spans="1:10">
      <c r="A19" s="17" t="s">
        <v>25</v>
      </c>
      <c r="B19" s="19">
        <f>'Assumed Values'!C9</f>
        <v>17.728589999999997</v>
      </c>
      <c r="G19" s="14">
        <f t="shared" si="0"/>
        <v>2030</v>
      </c>
      <c r="H19" s="14">
        <f t="shared" si="1"/>
        <v>1</v>
      </c>
      <c r="I19" s="23">
        <f t="shared" si="2"/>
        <v>0</v>
      </c>
      <c r="J19" s="38">
        <f t="shared" si="3"/>
        <v>0</v>
      </c>
    </row>
    <row r="20" spans="1:10">
      <c r="A20" s="17" t="s">
        <v>26</v>
      </c>
      <c r="B20" s="17">
        <v>260</v>
      </c>
      <c r="G20" s="13">
        <f t="shared" si="0"/>
        <v>2031</v>
      </c>
      <c r="H20" s="13">
        <f t="shared" si="1"/>
        <v>1</v>
      </c>
      <c r="I20" s="23">
        <f t="shared" si="2"/>
        <v>0</v>
      </c>
      <c r="J20" s="32">
        <f t="shared" si="3"/>
        <v>0</v>
      </c>
    </row>
    <row r="21" spans="1:10">
      <c r="G21" s="14">
        <f t="shared" si="0"/>
        <v>2032</v>
      </c>
      <c r="H21" s="14">
        <f t="shared" si="1"/>
        <v>1</v>
      </c>
      <c r="I21" s="23">
        <f t="shared" si="2"/>
        <v>0</v>
      </c>
      <c r="J21" s="38">
        <f t="shared" si="3"/>
        <v>0</v>
      </c>
    </row>
    <row r="22" spans="1:10">
      <c r="G22" s="13">
        <f t="shared" si="0"/>
        <v>2033</v>
      </c>
      <c r="H22" s="13">
        <f t="shared" si="1"/>
        <v>1</v>
      </c>
      <c r="I22" s="23">
        <f t="shared" si="2"/>
        <v>0</v>
      </c>
      <c r="J22" s="32">
        <f t="shared" si="3"/>
        <v>0</v>
      </c>
    </row>
    <row r="23" spans="1:10">
      <c r="G23" s="14">
        <f t="shared" si="0"/>
        <v>2034</v>
      </c>
      <c r="H23" s="14">
        <f t="shared" si="1"/>
        <v>1</v>
      </c>
      <c r="I23" s="23">
        <f t="shared" si="2"/>
        <v>0</v>
      </c>
      <c r="J23" s="38">
        <f t="shared" si="3"/>
        <v>0</v>
      </c>
    </row>
    <row r="24" spans="1:10">
      <c r="G24" s="13">
        <f t="shared" si="0"/>
        <v>2035</v>
      </c>
      <c r="H24" s="13">
        <f t="shared" si="1"/>
        <v>1</v>
      </c>
      <c r="I24" s="23">
        <f t="shared" si="2"/>
        <v>0</v>
      </c>
      <c r="J24" s="32">
        <f t="shared" si="3"/>
        <v>0</v>
      </c>
    </row>
    <row r="25" spans="1:10">
      <c r="G25" s="14">
        <f t="shared" si="0"/>
        <v>2036</v>
      </c>
      <c r="H25" s="14">
        <f t="shared" si="1"/>
        <v>1</v>
      </c>
      <c r="I25" s="23">
        <f t="shared" si="2"/>
        <v>0</v>
      </c>
      <c r="J25" s="38">
        <f t="shared" ref="J25:J29" si="4">I25*$B$18*$B$19/10^3</f>
        <v>0</v>
      </c>
    </row>
    <row r="26" spans="1:10">
      <c r="G26" s="13">
        <f t="shared" si="0"/>
        <v>2037</v>
      </c>
      <c r="H26" s="13">
        <f t="shared" si="1"/>
        <v>1</v>
      </c>
      <c r="I26" s="23">
        <f t="shared" si="2"/>
        <v>0</v>
      </c>
      <c r="J26" s="32">
        <f t="shared" si="4"/>
        <v>0</v>
      </c>
    </row>
    <row r="27" spans="1:10">
      <c r="G27" s="14">
        <f t="shared" si="0"/>
        <v>2038</v>
      </c>
      <c r="H27" s="14">
        <f t="shared" si="1"/>
        <v>1</v>
      </c>
      <c r="I27" s="23">
        <f t="shared" si="2"/>
        <v>0</v>
      </c>
      <c r="J27" s="38">
        <f t="shared" si="4"/>
        <v>0</v>
      </c>
    </row>
    <row r="28" spans="1:10">
      <c r="G28" s="13">
        <f t="shared" si="0"/>
        <v>2039</v>
      </c>
      <c r="H28" s="13">
        <f t="shared" si="1"/>
        <v>1</v>
      </c>
      <c r="I28" s="23">
        <f t="shared" si="2"/>
        <v>0</v>
      </c>
      <c r="J28" s="32">
        <f t="shared" si="4"/>
        <v>0</v>
      </c>
    </row>
    <row r="29" spans="1:10">
      <c r="A29" s="27"/>
      <c r="G29" s="14">
        <f t="shared" si="0"/>
        <v>2040</v>
      </c>
      <c r="H29" s="14">
        <f t="shared" si="1"/>
        <v>1</v>
      </c>
      <c r="I29" s="23">
        <f t="shared" si="2"/>
        <v>0</v>
      </c>
      <c r="J29" s="38">
        <f t="shared" si="4"/>
        <v>0</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8" t="s">
        <v>0</v>
      </c>
      <c r="D3" s="8" t="s">
        <v>30</v>
      </c>
      <c r="E3" s="9" t="s">
        <v>2</v>
      </c>
      <c r="G3" s="15" t="s">
        <v>3</v>
      </c>
      <c r="H3" s="15" t="s">
        <v>31</v>
      </c>
      <c r="I3" s="15" t="s">
        <v>32</v>
      </c>
      <c r="J3" s="15" t="s">
        <v>33</v>
      </c>
      <c r="K3" s="15" t="s">
        <v>34</v>
      </c>
    </row>
    <row r="4" spans="1:11">
      <c r="A4" s="6" t="s">
        <v>6</v>
      </c>
      <c r="B4" s="7"/>
      <c r="D4" s="6" t="s">
        <v>7</v>
      </c>
      <c r="E4" s="7">
        <v>2015</v>
      </c>
      <c r="G4" s="13">
        <f>E4</f>
        <v>2015</v>
      </c>
      <c r="H4" s="34" t="e">
        <f t="shared" ref="H4:H24" si="0">IF($G4&lt;($G$4+$E$5),$E$17,0)</f>
        <v>#REF!</v>
      </c>
      <c r="I4" s="32" t="e">
        <f>H4*$B$20/10^3</f>
        <v>#REF!</v>
      </c>
      <c r="J4" s="34" t="e">
        <f t="shared" ref="J4:J24" si="1">IF($G4&lt;($G$4+$E$5),$E$18,0)</f>
        <v>#REF!</v>
      </c>
      <c r="K4" s="32" t="e">
        <f>J4*$B$21/10^3</f>
        <v>#REF!</v>
      </c>
    </row>
    <row r="5" spans="1:11">
      <c r="A5" s="6" t="s">
        <v>8</v>
      </c>
      <c r="B5" s="7"/>
      <c r="D5" s="6" t="s">
        <v>9</v>
      </c>
      <c r="E5" s="10">
        <v>10</v>
      </c>
      <c r="G5" s="14">
        <f t="shared" ref="G5:G29" si="2">G4+1</f>
        <v>2016</v>
      </c>
      <c r="H5" s="34" t="e">
        <f t="shared" si="0"/>
        <v>#REF!</v>
      </c>
      <c r="I5" s="35" t="e">
        <f t="shared" ref="I5:I24" si="3">H5*$B$20/10^3</f>
        <v>#REF!</v>
      </c>
      <c r="J5" s="34" t="e">
        <f t="shared" si="1"/>
        <v>#REF!</v>
      </c>
      <c r="K5" s="35" t="e">
        <f t="shared" ref="K5:K24" si="4">J5*$B$21/10^3</f>
        <v>#REF!</v>
      </c>
    </row>
    <row r="6" spans="1:11">
      <c r="A6" s="6" t="s">
        <v>35</v>
      </c>
      <c r="B6" s="7">
        <v>2</v>
      </c>
      <c r="D6" s="128" t="s">
        <v>11</v>
      </c>
      <c r="E6" s="129"/>
      <c r="G6" s="13">
        <f t="shared" si="2"/>
        <v>2017</v>
      </c>
      <c r="H6" s="34" t="e">
        <f t="shared" si="0"/>
        <v>#REF!</v>
      </c>
      <c r="I6" s="32" t="e">
        <f t="shared" si="3"/>
        <v>#REF!</v>
      </c>
      <c r="J6" s="34" t="e">
        <f t="shared" si="1"/>
        <v>#REF!</v>
      </c>
      <c r="K6" s="32" t="e">
        <f t="shared" si="4"/>
        <v>#REF!</v>
      </c>
    </row>
    <row r="7" spans="1:11">
      <c r="A7" s="6" t="s">
        <v>12</v>
      </c>
      <c r="B7" s="24"/>
      <c r="D7" s="6" t="s">
        <v>36</v>
      </c>
      <c r="E7" s="10"/>
      <c r="G7" s="14">
        <f t="shared" si="2"/>
        <v>2018</v>
      </c>
      <c r="H7" s="34" t="e">
        <f t="shared" si="0"/>
        <v>#REF!</v>
      </c>
      <c r="I7" s="35" t="e">
        <f t="shared" si="3"/>
        <v>#REF!</v>
      </c>
      <c r="J7" s="34" t="e">
        <f t="shared" si="1"/>
        <v>#REF!</v>
      </c>
      <c r="K7" s="35" t="e">
        <f t="shared" si="4"/>
        <v>#REF!</v>
      </c>
    </row>
    <row r="8" spans="1:11">
      <c r="A8" s="6" t="s">
        <v>14</v>
      </c>
      <c r="B8" s="24"/>
      <c r="D8" s="128" t="s">
        <v>37</v>
      </c>
      <c r="E8" s="129"/>
      <c r="G8" s="13">
        <f t="shared" si="2"/>
        <v>2019</v>
      </c>
      <c r="H8" s="34" t="e">
        <f t="shared" si="0"/>
        <v>#REF!</v>
      </c>
      <c r="I8" s="32" t="e">
        <f t="shared" si="3"/>
        <v>#REF!</v>
      </c>
      <c r="J8" s="34" t="e">
        <f t="shared" si="1"/>
        <v>#REF!</v>
      </c>
      <c r="K8" s="32" t="e">
        <f t="shared" si="4"/>
        <v>#REF!</v>
      </c>
    </row>
    <row r="9" spans="1:11">
      <c r="D9" s="6" t="s">
        <v>38</v>
      </c>
      <c r="E9" s="10"/>
      <c r="G9" s="14">
        <f t="shared" si="2"/>
        <v>2020</v>
      </c>
      <c r="H9" s="34" t="e">
        <f t="shared" si="0"/>
        <v>#REF!</v>
      </c>
      <c r="I9" s="35" t="e">
        <f t="shared" si="3"/>
        <v>#REF!</v>
      </c>
      <c r="J9" s="34" t="e">
        <f t="shared" si="1"/>
        <v>#REF!</v>
      </c>
      <c r="K9" s="35" t="e">
        <f t="shared" si="4"/>
        <v>#REF!</v>
      </c>
    </row>
    <row r="10" spans="1:11">
      <c r="A10" s="12" t="s">
        <v>16</v>
      </c>
      <c r="D10" s="6" t="s">
        <v>39</v>
      </c>
      <c r="E10" s="10"/>
      <c r="G10" s="13">
        <f t="shared" si="2"/>
        <v>2021</v>
      </c>
      <c r="H10" s="34" t="e">
        <f t="shared" si="0"/>
        <v>#REF!</v>
      </c>
      <c r="I10" s="32" t="e">
        <f t="shared" si="3"/>
        <v>#REF!</v>
      </c>
      <c r="J10" s="34" t="e">
        <f t="shared" si="1"/>
        <v>#REF!</v>
      </c>
      <c r="K10" s="32" t="e">
        <f t="shared" si="4"/>
        <v>#REF!</v>
      </c>
    </row>
    <row r="11" spans="1:11">
      <c r="A11" s="11" t="s">
        <v>40</v>
      </c>
      <c r="B11" s="36" t="e">
        <f>(NPV($B$17,K4:K24)+NPV($B$17,I4:I24))/(1+$B$17)^2</f>
        <v>#REF!</v>
      </c>
      <c r="G11" s="14">
        <f t="shared" si="2"/>
        <v>2022</v>
      </c>
      <c r="H11" s="34" t="e">
        <f t="shared" si="0"/>
        <v>#REF!</v>
      </c>
      <c r="I11" s="35" t="e">
        <f t="shared" si="3"/>
        <v>#REF!</v>
      </c>
      <c r="J11" s="34" t="e">
        <f t="shared" si="1"/>
        <v>#REF!</v>
      </c>
      <c r="K11" s="35" t="e">
        <f t="shared" si="4"/>
        <v>#REF!</v>
      </c>
    </row>
    <row r="12" spans="1:11">
      <c r="A12" s="11" t="s">
        <v>18</v>
      </c>
      <c r="B12" s="37" t="e">
        <f>B11/B7</f>
        <v>#REF!</v>
      </c>
      <c r="G12" s="13">
        <f t="shared" si="2"/>
        <v>2023</v>
      </c>
      <c r="H12" s="34" t="e">
        <f t="shared" si="0"/>
        <v>#REF!</v>
      </c>
      <c r="I12" s="32" t="e">
        <f t="shared" si="3"/>
        <v>#REF!</v>
      </c>
      <c r="J12" s="34" t="e">
        <f t="shared" si="1"/>
        <v>#REF!</v>
      </c>
      <c r="K12" s="32" t="e">
        <f t="shared" si="4"/>
        <v>#REF!</v>
      </c>
    </row>
    <row r="13" spans="1:11">
      <c r="A13" s="11" t="s">
        <v>41</v>
      </c>
      <c r="B13" s="36" t="e">
        <f>B7*(B17/(1-(1+B17)^(-E5))/(SUM(H4:H29)+SUM(J4:J29)))</f>
        <v>#REF!</v>
      </c>
      <c r="G13" s="14">
        <f t="shared" si="2"/>
        <v>2024</v>
      </c>
      <c r="H13" s="34" t="e">
        <f t="shared" si="0"/>
        <v>#REF!</v>
      </c>
      <c r="I13" s="35" t="e">
        <f t="shared" si="3"/>
        <v>#REF!</v>
      </c>
      <c r="J13" s="34" t="e">
        <f t="shared" si="1"/>
        <v>#REF!</v>
      </c>
      <c r="K13" s="35" t="e">
        <f t="shared" si="4"/>
        <v>#REF!</v>
      </c>
    </row>
    <row r="14" spans="1:11">
      <c r="G14" s="13">
        <f>G13+1</f>
        <v>2025</v>
      </c>
      <c r="H14" s="34">
        <f t="shared" si="0"/>
        <v>0</v>
      </c>
      <c r="I14" s="32" t="e">
        <f t="shared" si="3"/>
        <v>#REF!</v>
      </c>
      <c r="J14" s="34">
        <f t="shared" si="1"/>
        <v>0</v>
      </c>
      <c r="K14" s="32" t="e">
        <f t="shared" si="4"/>
        <v>#REF!</v>
      </c>
    </row>
    <row r="15" spans="1:11">
      <c r="A15" s="16" t="s">
        <v>19</v>
      </c>
      <c r="G15" s="14">
        <f t="shared" si="2"/>
        <v>2026</v>
      </c>
      <c r="H15" s="34">
        <f t="shared" si="0"/>
        <v>0</v>
      </c>
      <c r="I15" s="35" t="e">
        <f t="shared" si="3"/>
        <v>#REF!</v>
      </c>
      <c r="J15" s="34">
        <f t="shared" si="1"/>
        <v>0</v>
      </c>
      <c r="K15" s="35" t="e">
        <f t="shared" si="4"/>
        <v>#REF!</v>
      </c>
    </row>
    <row r="16" spans="1:11">
      <c r="A16" s="17" t="s">
        <v>20</v>
      </c>
      <c r="B16" s="17">
        <v>2015</v>
      </c>
      <c r="D16" s="16" t="s">
        <v>21</v>
      </c>
      <c r="E16" s="25" t="s">
        <v>2</v>
      </c>
      <c r="G16" s="13">
        <f t="shared" si="2"/>
        <v>2027</v>
      </c>
      <c r="H16" s="34">
        <f t="shared" si="0"/>
        <v>0</v>
      </c>
      <c r="I16" s="32" t="e">
        <f t="shared" si="3"/>
        <v>#REF!</v>
      </c>
      <c r="J16" s="34">
        <f t="shared" si="1"/>
        <v>0</v>
      </c>
      <c r="K16" s="32" t="e">
        <f t="shared" si="4"/>
        <v>#REF!</v>
      </c>
    </row>
    <row r="17" spans="1:11">
      <c r="A17" s="17" t="s">
        <v>22</v>
      </c>
      <c r="B17" s="18">
        <v>7.0000000000000007E-2</v>
      </c>
      <c r="D17" s="20" t="s">
        <v>38</v>
      </c>
      <c r="E17" s="31" t="e">
        <f>IF(E9,E9,$E$7*B18*$B$22/10^6)</f>
        <v>#REF!</v>
      </c>
      <c r="G17" s="14">
        <f t="shared" si="2"/>
        <v>2028</v>
      </c>
      <c r="H17" s="34">
        <f t="shared" si="0"/>
        <v>0</v>
      </c>
      <c r="I17" s="35" t="e">
        <f t="shared" si="3"/>
        <v>#REF!</v>
      </c>
      <c r="J17" s="34">
        <f t="shared" si="1"/>
        <v>0</v>
      </c>
      <c r="K17" s="35" t="e">
        <f t="shared" si="4"/>
        <v>#REF!</v>
      </c>
    </row>
    <row r="18" spans="1:11">
      <c r="A18" s="17" t="s">
        <v>42</v>
      </c>
      <c r="B18" s="41" t="e">
        <f>IF($B$6=2,'Assumed Values'!#REF!,0)</f>
        <v>#REF!</v>
      </c>
      <c r="D18" s="20" t="s">
        <v>39</v>
      </c>
      <c r="E18" s="31" t="e">
        <f>IF(E10,E10,$E$7*B19*$B$22/10^6)</f>
        <v>#REF!</v>
      </c>
      <c r="G18" s="13">
        <f t="shared" si="2"/>
        <v>2029</v>
      </c>
      <c r="H18" s="34">
        <f t="shared" si="0"/>
        <v>0</v>
      </c>
      <c r="I18" s="32" t="e">
        <f t="shared" si="3"/>
        <v>#REF!</v>
      </c>
      <c r="J18" s="34">
        <f t="shared" si="1"/>
        <v>0</v>
      </c>
      <c r="K18" s="32" t="e">
        <f t="shared" si="4"/>
        <v>#REF!</v>
      </c>
    </row>
    <row r="19" spans="1:11">
      <c r="A19" s="17" t="s">
        <v>43</v>
      </c>
      <c r="B19" s="41" t="e">
        <f>IF($B$6=2,'Assumed Values'!#REF!,0)</f>
        <v>#REF!</v>
      </c>
      <c r="G19" s="14">
        <f t="shared" si="2"/>
        <v>2030</v>
      </c>
      <c r="H19" s="34">
        <f t="shared" si="0"/>
        <v>0</v>
      </c>
      <c r="I19" s="35" t="e">
        <f t="shared" si="3"/>
        <v>#REF!</v>
      </c>
      <c r="J19" s="34">
        <f t="shared" si="1"/>
        <v>0</v>
      </c>
      <c r="K19" s="35" t="e">
        <f t="shared" si="4"/>
        <v>#REF!</v>
      </c>
    </row>
    <row r="20" spans="1:11">
      <c r="A20" s="17" t="s">
        <v>44</v>
      </c>
      <c r="B20" s="33" t="e">
        <f>'Assumed Values'!#REF!</f>
        <v>#REF!</v>
      </c>
      <c r="G20" s="13">
        <f t="shared" si="2"/>
        <v>2031</v>
      </c>
      <c r="H20" s="34">
        <f t="shared" si="0"/>
        <v>0</v>
      </c>
      <c r="I20" s="32" t="e">
        <f t="shared" si="3"/>
        <v>#REF!</v>
      </c>
      <c r="J20" s="34">
        <f t="shared" si="1"/>
        <v>0</v>
      </c>
      <c r="K20" s="32" t="e">
        <f t="shared" si="4"/>
        <v>#REF!</v>
      </c>
    </row>
    <row r="21" spans="1:11">
      <c r="A21" s="17" t="s">
        <v>45</v>
      </c>
      <c r="B21" s="33" t="e">
        <f>'Assumed Values'!#REF!</f>
        <v>#REF!</v>
      </c>
      <c r="G21" s="14">
        <f t="shared" si="2"/>
        <v>2032</v>
      </c>
      <c r="H21" s="34">
        <f t="shared" si="0"/>
        <v>0</v>
      </c>
      <c r="I21" s="35" t="e">
        <f t="shared" si="3"/>
        <v>#REF!</v>
      </c>
      <c r="J21" s="34">
        <f t="shared" si="1"/>
        <v>0</v>
      </c>
      <c r="K21" s="35" t="e">
        <f t="shared" si="4"/>
        <v>#REF!</v>
      </c>
    </row>
    <row r="22" spans="1:11">
      <c r="A22" s="17" t="s">
        <v>26</v>
      </c>
      <c r="B22" s="17">
        <v>260</v>
      </c>
      <c r="G22" s="13">
        <f t="shared" si="2"/>
        <v>2033</v>
      </c>
      <c r="H22" s="34">
        <f t="shared" si="0"/>
        <v>0</v>
      </c>
      <c r="I22" s="32" t="e">
        <f t="shared" si="3"/>
        <v>#REF!</v>
      </c>
      <c r="J22" s="34">
        <f t="shared" si="1"/>
        <v>0</v>
      </c>
      <c r="K22" s="32" t="e">
        <f t="shared" si="4"/>
        <v>#REF!</v>
      </c>
    </row>
    <row r="23" spans="1:11">
      <c r="G23" s="14">
        <f t="shared" si="2"/>
        <v>2034</v>
      </c>
      <c r="H23" s="34">
        <f t="shared" si="0"/>
        <v>0</v>
      </c>
      <c r="I23" s="35" t="e">
        <f t="shared" si="3"/>
        <v>#REF!</v>
      </c>
      <c r="J23" s="34">
        <f t="shared" si="1"/>
        <v>0</v>
      </c>
      <c r="K23" s="35" t="e">
        <f t="shared" si="4"/>
        <v>#REF!</v>
      </c>
    </row>
    <row r="24" spans="1:11">
      <c r="G24" s="13">
        <f t="shared" si="2"/>
        <v>2035</v>
      </c>
      <c r="H24" s="34">
        <f t="shared" si="0"/>
        <v>0</v>
      </c>
      <c r="I24" s="32" t="e">
        <f t="shared" si="3"/>
        <v>#REF!</v>
      </c>
      <c r="J24" s="34">
        <f t="shared" si="1"/>
        <v>0</v>
      </c>
      <c r="K24" s="32" t="e">
        <f t="shared" si="4"/>
        <v>#REF!</v>
      </c>
    </row>
    <row r="25" spans="1:11">
      <c r="G25" s="14">
        <f t="shared" si="2"/>
        <v>2036</v>
      </c>
      <c r="H25" s="34">
        <f t="shared" ref="H25:H28" si="5">IF($G25&lt;($G$4+$E$5),$E$17,0)</f>
        <v>0</v>
      </c>
      <c r="I25" s="35" t="e">
        <f t="shared" ref="I25:I29" si="6">H25*$B$20/10^3</f>
        <v>#REF!</v>
      </c>
      <c r="J25" s="34">
        <f t="shared" ref="J25:J28" si="7">IF($G25&lt;($G$4+$E$5),$E$18,0)</f>
        <v>0</v>
      </c>
      <c r="K25" s="35" t="e">
        <f t="shared" ref="K25:K29" si="8">J25*$B$21/10^3</f>
        <v>#REF!</v>
      </c>
    </row>
    <row r="26" spans="1:11">
      <c r="G26" s="13">
        <f t="shared" si="2"/>
        <v>2037</v>
      </c>
      <c r="H26" s="34">
        <f t="shared" si="5"/>
        <v>0</v>
      </c>
      <c r="I26" s="32" t="e">
        <f t="shared" si="6"/>
        <v>#REF!</v>
      </c>
      <c r="J26" s="34">
        <f t="shared" si="7"/>
        <v>0</v>
      </c>
      <c r="K26" s="32" t="e">
        <f t="shared" si="8"/>
        <v>#REF!</v>
      </c>
    </row>
    <row r="27" spans="1:11">
      <c r="G27" s="14">
        <f t="shared" si="2"/>
        <v>2038</v>
      </c>
      <c r="H27" s="34">
        <f t="shared" si="5"/>
        <v>0</v>
      </c>
      <c r="I27" s="35" t="e">
        <f t="shared" si="6"/>
        <v>#REF!</v>
      </c>
      <c r="J27" s="34">
        <f t="shared" si="7"/>
        <v>0</v>
      </c>
      <c r="K27" s="35" t="e">
        <f t="shared" si="8"/>
        <v>#REF!</v>
      </c>
    </row>
    <row r="28" spans="1:11">
      <c r="G28" s="13">
        <f t="shared" si="2"/>
        <v>2039</v>
      </c>
      <c r="H28" s="34">
        <f t="shared" si="5"/>
        <v>0</v>
      </c>
      <c r="I28" s="32" t="e">
        <f t="shared" si="6"/>
        <v>#REF!</v>
      </c>
      <c r="J28" s="34">
        <f t="shared" si="7"/>
        <v>0</v>
      </c>
      <c r="K28" s="32" t="e">
        <f t="shared" si="8"/>
        <v>#REF!</v>
      </c>
    </row>
    <row r="29" spans="1:11">
      <c r="G29" s="14">
        <f t="shared" si="2"/>
        <v>2040</v>
      </c>
      <c r="H29" s="34">
        <f>IF($G29&lt;($G$4+$E$5),$E$17,0)</f>
        <v>0</v>
      </c>
      <c r="I29" s="35" t="e">
        <f t="shared" si="6"/>
        <v>#REF!</v>
      </c>
      <c r="J29" s="34">
        <f>IF($G29&lt;($G$4+$E$5),$E$18,0)</f>
        <v>0</v>
      </c>
      <c r="K29" s="35" t="e">
        <f t="shared" si="8"/>
        <v>#REF!</v>
      </c>
    </row>
    <row r="31" spans="1:11">
      <c r="A31" s="27"/>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zoomScale="115" zoomScaleNormal="115" workbookViewId="0" xr3:uid="{51F8DEE0-4D01-5F28-A812-FC0BD7CAC4A5}">
      <selection activeCell="B13" sqref="B13"/>
    </sheetView>
  </sheetViews>
  <sheetFormatPr defaultColWidth="9.140625" defaultRowHeight="15"/>
  <cols>
    <col min="1" max="1" width="45.140625" style="86" bestFit="1" customWidth="1"/>
    <col min="2" max="2" width="16.42578125" style="86" customWidth="1"/>
    <col min="3" max="3" width="5.28515625" style="86" customWidth="1"/>
    <col min="4" max="4" width="5.140625" style="86" customWidth="1"/>
    <col min="5" max="5" width="36" style="86" customWidth="1"/>
    <col min="6" max="6" width="15.28515625" style="86" bestFit="1" customWidth="1"/>
    <col min="7" max="7" width="15.42578125" style="86" customWidth="1"/>
    <col min="8" max="8" width="9.140625" style="86"/>
    <col min="9" max="9" width="15.140625" style="86" customWidth="1"/>
    <col min="10" max="16384" width="9.140625" style="86"/>
  </cols>
  <sheetData>
    <row r="3" spans="1:7" ht="18.75">
      <c r="A3" s="97" t="s">
        <v>46</v>
      </c>
      <c r="B3" s="95"/>
      <c r="C3" s="95"/>
      <c r="D3" s="95"/>
      <c r="E3" s="95"/>
    </row>
    <row r="4" spans="1:7">
      <c r="F4" s="98"/>
      <c r="G4" s="98"/>
    </row>
    <row r="5" spans="1:7">
      <c r="A5" s="99" t="s">
        <v>47</v>
      </c>
    </row>
    <row r="6" spans="1:7" ht="30">
      <c r="A6" s="7" t="s">
        <v>48</v>
      </c>
      <c r="B6" s="116" t="s">
        <v>49</v>
      </c>
      <c r="D6" s="7"/>
      <c r="E6" s="86" t="s">
        <v>50</v>
      </c>
    </row>
    <row r="7" spans="1:7">
      <c r="A7" s="7" t="s">
        <v>51</v>
      </c>
      <c r="B7" s="117" t="s">
        <v>52</v>
      </c>
      <c r="D7" s="87"/>
      <c r="E7" s="86" t="s">
        <v>53</v>
      </c>
    </row>
    <row r="8" spans="1:7">
      <c r="A8" s="7" t="s">
        <v>54</v>
      </c>
      <c r="B8" s="117" t="s">
        <v>55</v>
      </c>
      <c r="D8" s="88"/>
      <c r="E8" s="86" t="s">
        <v>56</v>
      </c>
    </row>
    <row r="9" spans="1:7">
      <c r="A9" s="7" t="s">
        <v>57</v>
      </c>
      <c r="B9" s="117" t="s">
        <v>58</v>
      </c>
      <c r="D9" s="89"/>
      <c r="E9" s="86" t="s">
        <v>59</v>
      </c>
    </row>
    <row r="10" spans="1:7">
      <c r="A10" s="7" t="s">
        <v>60</v>
      </c>
      <c r="B10" s="117" t="s">
        <v>61</v>
      </c>
    </row>
    <row r="11" spans="1:7">
      <c r="A11" s="7" t="s">
        <v>62</v>
      </c>
      <c r="B11" s="117" t="s">
        <v>63</v>
      </c>
    </row>
    <row r="12" spans="1:7">
      <c r="A12" s="7" t="s">
        <v>64</v>
      </c>
      <c r="B12" s="117">
        <v>5.3</v>
      </c>
    </row>
    <row r="13" spans="1:7">
      <c r="A13" s="7" t="s">
        <v>65</v>
      </c>
      <c r="B13" s="117">
        <v>223</v>
      </c>
      <c r="F13" s="100"/>
    </row>
    <row r="14" spans="1:7">
      <c r="A14" s="7" t="s">
        <v>66</v>
      </c>
      <c r="B14" s="117" t="s">
        <v>67</v>
      </c>
    </row>
    <row r="17" spans="1:7">
      <c r="A17" s="99" t="s">
        <v>68</v>
      </c>
      <c r="E17" s="130" t="s">
        <v>69</v>
      </c>
      <c r="F17" s="131"/>
    </row>
    <row r="18" spans="1:7">
      <c r="A18" s="7" t="s">
        <v>70</v>
      </c>
      <c r="B18" s="118">
        <v>2024</v>
      </c>
      <c r="E18" s="88" t="s">
        <v>71</v>
      </c>
      <c r="F18" s="123">
        <f>$B$12/$B$32</f>
        <v>0.14722222222222223</v>
      </c>
    </row>
    <row r="19" spans="1:7" ht="30">
      <c r="A19" s="7" t="s">
        <v>72</v>
      </c>
      <c r="B19" s="119" t="s">
        <v>73</v>
      </c>
      <c r="E19" s="90" t="s">
        <v>74</v>
      </c>
      <c r="F19" s="124">
        <f>$B$12/$B$33</f>
        <v>0.26500000000000001</v>
      </c>
    </row>
    <row r="20" spans="1:7" ht="30">
      <c r="A20" s="114" t="s">
        <v>75</v>
      </c>
      <c r="B20" s="115">
        <f>VLOOKUP(B19,'Delay Reduction Factors'!B4:C80,2, FALSE)</f>
        <v>0.3</v>
      </c>
      <c r="E20" s="90" t="s">
        <v>76</v>
      </c>
      <c r="F20" s="123">
        <f>$F$19-$F$18</f>
        <v>0.11777777777777779</v>
      </c>
    </row>
    <row r="21" spans="1:7">
      <c r="A21" s="7" t="s">
        <v>77</v>
      </c>
      <c r="B21" s="64">
        <v>20</v>
      </c>
      <c r="D21" s="101"/>
      <c r="E21" s="88" t="s">
        <v>78</v>
      </c>
      <c r="F21" s="123">
        <f>$F$20*$B$20</f>
        <v>3.5333333333333335E-2</v>
      </c>
      <c r="G21" s="102"/>
    </row>
    <row r="22" spans="1:7">
      <c r="D22" s="101"/>
      <c r="E22" s="88" t="s">
        <v>79</v>
      </c>
      <c r="F22" s="123">
        <f>$F$20-$F$21</f>
        <v>8.2444444444444459E-2</v>
      </c>
      <c r="G22" s="102"/>
    </row>
    <row r="23" spans="1:7">
      <c r="E23" s="88" t="s">
        <v>80</v>
      </c>
      <c r="F23" s="123">
        <f>$F$18+$F$22</f>
        <v>0.22966666666666669</v>
      </c>
    </row>
    <row r="24" spans="1:7">
      <c r="A24" s="99" t="s">
        <v>81</v>
      </c>
      <c r="B24" s="103"/>
      <c r="D24" s="101"/>
    </row>
    <row r="25" spans="1:7">
      <c r="A25" s="7" t="s">
        <v>82</v>
      </c>
      <c r="B25" s="127">
        <v>24359</v>
      </c>
      <c r="D25" s="101"/>
    </row>
    <row r="28" spans="1:7">
      <c r="A28" s="88" t="s">
        <v>83</v>
      </c>
      <c r="B28" s="113">
        <f>IF(FacilityType='Delay Reduction Factors'!N5,'Inputs &amp; Outputs'!B25*45%, B25*43%)</f>
        <v>10474.369999999999</v>
      </c>
      <c r="D28" s="101"/>
      <c r="E28" s="104" t="s">
        <v>84</v>
      </c>
      <c r="F28" s="105" t="s">
        <v>2</v>
      </c>
      <c r="G28" s="106" t="s">
        <v>85</v>
      </c>
    </row>
    <row r="29" spans="1:7">
      <c r="A29" s="88" t="s">
        <v>86</v>
      </c>
      <c r="B29" s="96">
        <f>VLOOKUP(Year_Open_to_Traffic?,Calculations!H4:I36,2)</f>
        <v>13858.926148528597</v>
      </c>
      <c r="D29" s="101"/>
      <c r="E29" s="90" t="s">
        <v>87</v>
      </c>
      <c r="F29" s="84">
        <f>$B$29*$F$23</f>
        <v>3182.9333721120679</v>
      </c>
      <c r="G29" s="85">
        <f>$B$29*$F$19</f>
        <v>3672.6154293600785</v>
      </c>
    </row>
    <row r="30" spans="1:7">
      <c r="B30" s="83"/>
      <c r="D30" s="101"/>
    </row>
    <row r="32" spans="1:7">
      <c r="A32" s="107" t="s">
        <v>88</v>
      </c>
      <c r="B32" s="120">
        <v>36</v>
      </c>
      <c r="D32" s="101"/>
    </row>
    <row r="33" spans="1:7" ht="30">
      <c r="A33" s="108" t="s">
        <v>89</v>
      </c>
      <c r="B33" s="121">
        <v>20</v>
      </c>
      <c r="D33" s="101"/>
      <c r="E33" s="101"/>
      <c r="F33" s="109"/>
    </row>
    <row r="34" spans="1:7">
      <c r="A34" s="110"/>
      <c r="B34" s="122"/>
      <c r="F34" s="109"/>
      <c r="G34" s="109"/>
    </row>
    <row r="35" spans="1:7">
      <c r="A35" s="88" t="s">
        <v>90</v>
      </c>
      <c r="B35" s="126">
        <f>$B$28</f>
        <v>10474.369999999999</v>
      </c>
    </row>
    <row r="36" spans="1:7">
      <c r="A36" s="107" t="s">
        <v>91</v>
      </c>
      <c r="B36" s="120">
        <v>21722</v>
      </c>
    </row>
    <row r="37" spans="1:7">
      <c r="A37" s="107" t="s">
        <v>92</v>
      </c>
      <c r="B37" s="120">
        <v>14521</v>
      </c>
    </row>
    <row r="38" spans="1:7">
      <c r="A38" s="107" t="s">
        <v>93</v>
      </c>
      <c r="B38" s="120">
        <v>21722</v>
      </c>
    </row>
    <row r="39" spans="1:7">
      <c r="A39" s="107" t="s">
        <v>94</v>
      </c>
      <c r="B39" s="120">
        <v>18226</v>
      </c>
    </row>
    <row r="40" spans="1:7">
      <c r="A40" s="107" t="s">
        <v>95</v>
      </c>
      <c r="B40" s="120">
        <v>21722</v>
      </c>
      <c r="G40" s="111"/>
    </row>
    <row r="42" spans="1:7" ht="18.75">
      <c r="A42" s="97" t="s">
        <v>96</v>
      </c>
      <c r="B42" s="95"/>
    </row>
    <row r="43" spans="1:7">
      <c r="C43" s="98"/>
      <c r="D43" s="98"/>
      <c r="E43" s="98"/>
      <c r="F43" s="98"/>
      <c r="G43" s="98"/>
    </row>
    <row r="44" spans="1:7" hidden="1">
      <c r="A44" s="112" t="s">
        <v>97</v>
      </c>
    </row>
    <row r="45" spans="1:7">
      <c r="A45" s="112" t="s">
        <v>97</v>
      </c>
    </row>
    <row r="46" spans="1:7">
      <c r="A46" s="89" t="s">
        <v>98</v>
      </c>
      <c r="B46" s="40">
        <f>Calculations!$T$37</f>
        <v>36688.017600146872</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xr3:uid="{F9CF3CF3-643B-5BE6-8B46-32C596A47465}">
      <selection activeCell="D25" sqref="D25"/>
    </sheetView>
  </sheetViews>
  <sheetFormatPr defaultRowHeight="1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47" bestFit="1" customWidth="1"/>
    <col min="15" max="15" width="11.42578125"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c r="A3" s="16" t="s">
        <v>19</v>
      </c>
      <c r="B3" s="58"/>
      <c r="D3" s="16" t="s">
        <v>21</v>
      </c>
      <c r="E3" s="25" t="s">
        <v>2</v>
      </c>
      <c r="F3" s="25" t="s">
        <v>85</v>
      </c>
      <c r="H3" s="15" t="s">
        <v>3</v>
      </c>
      <c r="I3" s="81" t="s">
        <v>99</v>
      </c>
      <c r="J3" s="81" t="s">
        <v>100</v>
      </c>
      <c r="K3" s="81" t="s">
        <v>101</v>
      </c>
      <c r="L3" s="15" t="s">
        <v>102</v>
      </c>
      <c r="M3" s="45" t="s">
        <v>103</v>
      </c>
      <c r="N3" s="46" t="s">
        <v>104</v>
      </c>
      <c r="O3" s="15" t="s">
        <v>105</v>
      </c>
      <c r="P3" s="15" t="s">
        <v>4</v>
      </c>
      <c r="Q3" s="15" t="s">
        <v>106</v>
      </c>
      <c r="R3" s="15" t="s">
        <v>107</v>
      </c>
      <c r="S3" s="15" t="s">
        <v>108</v>
      </c>
      <c r="T3" s="15" t="s">
        <v>109</v>
      </c>
    </row>
    <row r="4" spans="1:24">
      <c r="A4" s="17" t="s">
        <v>20</v>
      </c>
      <c r="B4" s="17">
        <v>2018</v>
      </c>
      <c r="D4" s="17" t="s">
        <v>110</v>
      </c>
      <c r="E4" s="79">
        <f>'Inputs &amp; Outputs'!F29*Annual_Days_of_Travel</f>
        <v>827562.6767491377</v>
      </c>
      <c r="F4" s="21">
        <f>'Inputs &amp; Outputs'!G29*Annual_Days_of_Travel</f>
        <v>954880.01163362036</v>
      </c>
      <c r="H4" s="49">
        <v>2018</v>
      </c>
      <c r="I4" s="50">
        <f>'Inputs &amp; Outputs'!B28</f>
        <v>10474.369999999999</v>
      </c>
      <c r="J4" s="50">
        <f>IF(H4=Year_Open_to_Traffic?,$F$4,0)</f>
        <v>0</v>
      </c>
      <c r="K4" s="50">
        <f>IF(H4=Year_Open_to_Traffic?,Calculations!$E$4,0)</f>
        <v>0</v>
      </c>
      <c r="L4" s="50">
        <f>IF(AND(H4&gt;=Year_Open_to_Traffic?, Calculations!H4&lt;Year_Open_to_Traffic?+'Inputs &amp; Outputs'!B$21), 1, 0)</f>
        <v>0</v>
      </c>
      <c r="M4" s="66" t="s">
        <v>111</v>
      </c>
      <c r="N4" s="67">
        <f>MIN(E8,1)</f>
        <v>0.48220099438357422</v>
      </c>
      <c r="O4" s="68">
        <f>-(ROUNDUP(N4,0)-2)</f>
        <v>1</v>
      </c>
      <c r="P4" s="69">
        <f>(J4-K4)*L4</f>
        <v>0</v>
      </c>
      <c r="Q4" s="70">
        <f t="shared" ref="Q4:Q36" si="0">IF(AND(H4&gt;=Year_Open_to_Traffic?,H4&lt;Year_Open_to_Traffic?+Years_to_include_in_BCA_Analysis),1,0)</f>
        <v>0</v>
      </c>
      <c r="R4" s="71">
        <f t="shared" ref="R4:R36" si="1">Value_of_Travel_Time__VoTT___2018*(1+Real_wage_growth_rate)^(H4-Base_Year)</f>
        <v>17.728589999999997</v>
      </c>
      <c r="S4" s="78">
        <f t="shared" ref="S4:S36" si="2">(P4*Q4)*(Vehicle_Occupancy*R4)/10^3</f>
        <v>0</v>
      </c>
      <c r="T4" s="65">
        <f>S4/1.07^(H4-H$4)</f>
        <v>0</v>
      </c>
    </row>
    <row r="5" spans="1:24">
      <c r="A5" s="17" t="s">
        <v>24</v>
      </c>
      <c r="B5" s="17">
        <v>1.39</v>
      </c>
      <c r="D5" s="17" t="s">
        <v>112</v>
      </c>
      <c r="E5" s="39">
        <f>(_2025_PeakVolume/_2018_PeakVolume)^(1/(2025-2018))-1</f>
        <v>4.7772377482630857E-2</v>
      </c>
      <c r="F5" s="26"/>
      <c r="H5" s="14">
        <f t="shared" ref="H5:H36" si="3">H4+1</f>
        <v>2019</v>
      </c>
      <c r="I5" s="80">
        <f>(I4*M5)+I4</f>
        <v>10974.755557532742</v>
      </c>
      <c r="J5" s="50">
        <f t="shared" ref="J5:J36" si="4">IF(H5=Year_Open_to_Traffic?,$F$4,J4+(J4*M5))</f>
        <v>0</v>
      </c>
      <c r="K5" s="50">
        <f>IF(H5=Year_Open_to_Traffic?,Calculations!$E$4,K4+(K4*M5))</f>
        <v>0</v>
      </c>
      <c r="L5" s="50">
        <f>IF(AND(H5&gt;=Year_Open_to_Traffic?, Calculations!H5&lt;Year_Open_to_Traffic?+'Inputs &amp; Outputs'!B$21), 1, 0)</f>
        <v>0</v>
      </c>
      <c r="M5" s="66">
        <f t="shared" ref="M5:M11" si="5">IF(ISERROR(_2025_2045_Demand_Growth),_2018_2045_Demand_Growth,_Facility_Type)</f>
        <v>4.7772377482630857E-2</v>
      </c>
      <c r="N5" s="72">
        <f t="shared" ref="N5:N11" si="6">N4*(1+IFERROR(_2018_2025_V_C_Growth,_2018_2045_V_C_Growth))</f>
        <v>0.50523688230976627</v>
      </c>
      <c r="O5" s="73">
        <f t="shared" ref="O5:O36" si="7">-(ROUNDUP(N5,0)-2)</f>
        <v>1</v>
      </c>
      <c r="P5" s="69">
        <f t="shared" ref="P5:P36" si="8">(J5-K5)*L5</f>
        <v>0</v>
      </c>
      <c r="Q5" s="70">
        <f t="shared" si="0"/>
        <v>0</v>
      </c>
      <c r="R5" s="71">
        <f t="shared" si="1"/>
        <v>18.136347569999995</v>
      </c>
      <c r="S5" s="78">
        <f t="shared" si="2"/>
        <v>0</v>
      </c>
      <c r="T5" s="65">
        <f t="shared" ref="T5:T36" si="9">S5/1.07^(H5-H$4)</f>
        <v>0</v>
      </c>
    </row>
    <row r="6" spans="1:24">
      <c r="A6" s="17" t="s">
        <v>113</v>
      </c>
      <c r="B6" s="19">
        <f>'Assumed Values'!C9</f>
        <v>17.728589999999997</v>
      </c>
      <c r="D6" s="17" t="s">
        <v>114</v>
      </c>
      <c r="E6" s="39">
        <f>(_2045_PeakVolume/_2025_PeakVolume)^(1/(2045-2025))-1</f>
        <v>1.1427463688283401E-2</v>
      </c>
      <c r="F6" s="26"/>
      <c r="H6" s="49">
        <f t="shared" si="3"/>
        <v>2020</v>
      </c>
      <c r="I6" s="80">
        <f t="shared" ref="I6:I36" si="10">(I5*M6)+I5</f>
        <v>11499.045722806797</v>
      </c>
      <c r="J6" s="50">
        <f t="shared" si="4"/>
        <v>0</v>
      </c>
      <c r="K6" s="50">
        <f>IF(H6=Year_Open_to_Traffic?,Calculations!$E$4,K5+(K5*M6))</f>
        <v>0</v>
      </c>
      <c r="L6" s="50">
        <f>IF(AND(H6&gt;=Year_Open_to_Traffic?, Calculations!H6&lt;Year_Open_to_Traffic?+'Inputs &amp; Outputs'!B$21), 1, 0)</f>
        <v>0</v>
      </c>
      <c r="M6" s="66">
        <f t="shared" si="5"/>
        <v>4.7772377482630857E-2</v>
      </c>
      <c r="N6" s="72">
        <f t="shared" si="6"/>
        <v>0.52937324936961594</v>
      </c>
      <c r="O6" s="73">
        <f t="shared" si="7"/>
        <v>1</v>
      </c>
      <c r="P6" s="69">
        <f>(J6-K6)*L6</f>
        <v>0</v>
      </c>
      <c r="Q6" s="70">
        <f t="shared" si="0"/>
        <v>0</v>
      </c>
      <c r="R6" s="71">
        <f t="shared" si="1"/>
        <v>18.553483564109992</v>
      </c>
      <c r="S6" s="78">
        <f t="shared" si="2"/>
        <v>0</v>
      </c>
      <c r="T6" s="65">
        <f t="shared" si="9"/>
        <v>0</v>
      </c>
    </row>
    <row r="7" spans="1:24">
      <c r="A7" s="17" t="s">
        <v>115</v>
      </c>
      <c r="B7" s="48">
        <f>'Assumed Values'!C10</f>
        <v>2.3E-2</v>
      </c>
      <c r="D7" s="17" t="s">
        <v>116</v>
      </c>
      <c r="E7" s="39">
        <f>(_2045_PeakVolume/_2018_PeakVolume)^(1/(2045-2018))-1</f>
        <v>2.0727363887232286E-2</v>
      </c>
      <c r="F7" s="26"/>
      <c r="H7" s="14">
        <f t="shared" si="3"/>
        <v>2021</v>
      </c>
      <c r="I7" s="80">
        <f t="shared" si="10"/>
        <v>12048.382475766755</v>
      </c>
      <c r="J7" s="50">
        <f t="shared" si="4"/>
        <v>0</v>
      </c>
      <c r="K7" s="50">
        <f>IF(H7=Year_Open_to_Traffic?,Calculations!$E$4,K6+(K6*M7))</f>
        <v>0</v>
      </c>
      <c r="L7" s="50">
        <f>IF(AND(H7&gt;=Year_Open_to_Traffic?, Calculations!H7&lt;Year_Open_to_Traffic?+'Inputs &amp; Outputs'!B$21), 1, 0)</f>
        <v>0</v>
      </c>
      <c r="M7" s="66">
        <f t="shared" si="5"/>
        <v>4.7772377482630857E-2</v>
      </c>
      <c r="N7" s="72">
        <f t="shared" si="6"/>
        <v>0.55466266806770814</v>
      </c>
      <c r="O7" s="73">
        <f t="shared" si="7"/>
        <v>1</v>
      </c>
      <c r="P7" s="69">
        <f t="shared" si="8"/>
        <v>0</v>
      </c>
      <c r="Q7" s="70">
        <f t="shared" si="0"/>
        <v>0</v>
      </c>
      <c r="R7" s="71">
        <f t="shared" si="1"/>
        <v>18.980213686084522</v>
      </c>
      <c r="S7" s="78">
        <f t="shared" si="2"/>
        <v>0</v>
      </c>
      <c r="T7" s="65">
        <f t="shared" si="9"/>
        <v>0</v>
      </c>
    </row>
    <row r="8" spans="1:24">
      <c r="A8" s="17" t="s">
        <v>26</v>
      </c>
      <c r="B8" s="17">
        <v>260</v>
      </c>
      <c r="D8" s="17" t="s">
        <v>117</v>
      </c>
      <c r="E8" s="22">
        <f>_2018_PeakVolume/_2018_Capacity</f>
        <v>0.48220099438357422</v>
      </c>
      <c r="F8" s="26"/>
      <c r="H8" s="49">
        <f t="shared" si="3"/>
        <v>2022</v>
      </c>
      <c r="I8" s="80">
        <f t="shared" si="10"/>
        <v>12623.9623514542</v>
      </c>
      <c r="J8" s="50">
        <f t="shared" si="4"/>
        <v>0</v>
      </c>
      <c r="K8" s="50">
        <f>IF(H8=Year_Open_to_Traffic?,Calculations!$E$4,K7+(K7*M8))</f>
        <v>0</v>
      </c>
      <c r="L8" s="50">
        <f>IF(AND(H8&gt;=Year_Open_to_Traffic?, Calculations!H8&lt;Year_Open_to_Traffic?+'Inputs &amp; Outputs'!B$21), 1, 0)</f>
        <v>0</v>
      </c>
      <c r="M8" s="66">
        <f t="shared" si="5"/>
        <v>4.7772377482630857E-2</v>
      </c>
      <c r="N8" s="72">
        <f t="shared" si="6"/>
        <v>0.58116022242216192</v>
      </c>
      <c r="O8" s="73">
        <f t="shared" si="7"/>
        <v>1</v>
      </c>
      <c r="P8" s="69">
        <f>(J8-K8)*L8</f>
        <v>0</v>
      </c>
      <c r="Q8" s="70">
        <f>IF(AND(H8&gt;=Year_Open_to_Traffic?,H8&lt;Year_Open_to_Traffic?+Years_to_include_in_BCA_Analysis),1,0)</f>
        <v>0</v>
      </c>
      <c r="R8" s="71">
        <f t="shared" si="1"/>
        <v>19.416758600864465</v>
      </c>
      <c r="S8" s="78">
        <f t="shared" si="2"/>
        <v>0</v>
      </c>
      <c r="T8" s="65">
        <f t="shared" si="9"/>
        <v>0</v>
      </c>
      <c r="W8" s="59"/>
      <c r="X8" s="59"/>
    </row>
    <row r="9" spans="1:24">
      <c r="A9" s="17" t="s">
        <v>118</v>
      </c>
      <c r="B9" s="17">
        <f>'Inputs &amp; Outputs'!B21</f>
        <v>20</v>
      </c>
      <c r="D9" s="17" t="s">
        <v>119</v>
      </c>
      <c r="E9" s="22">
        <f>_2025_PeakVolume/_2025_Capacity</f>
        <v>0.66849277230457604</v>
      </c>
      <c r="F9" s="26"/>
      <c r="H9" s="14">
        <f t="shared" si="3"/>
        <v>2023</v>
      </c>
      <c r="I9" s="80">
        <f t="shared" si="10"/>
        <v>13227.039046234389</v>
      </c>
      <c r="J9" s="50">
        <f t="shared" si="4"/>
        <v>0</v>
      </c>
      <c r="K9" s="50">
        <f>IF(H9=Year_Open_to_Traffic?,Calculations!$E$4,K8+(K8*M9))</f>
        <v>0</v>
      </c>
      <c r="L9" s="50">
        <f>IF(AND(H9&gt;=Year_Open_to_Traffic?, Calculations!H9&lt;Year_Open_to_Traffic?+'Inputs &amp; Outputs'!B$21), 1, 0)</f>
        <v>0</v>
      </c>
      <c r="M9" s="66">
        <f t="shared" si="5"/>
        <v>4.7772377482630857E-2</v>
      </c>
      <c r="N9" s="72">
        <f t="shared" si="6"/>
        <v>0.60892362794560317</v>
      </c>
      <c r="O9" s="73">
        <f t="shared" si="7"/>
        <v>1</v>
      </c>
      <c r="P9" s="69">
        <f t="shared" si="8"/>
        <v>0</v>
      </c>
      <c r="Q9" s="70">
        <f t="shared" si="0"/>
        <v>0</v>
      </c>
      <c r="R9" s="71">
        <f t="shared" si="1"/>
        <v>19.863344048684343</v>
      </c>
      <c r="S9" s="78">
        <f t="shared" si="2"/>
        <v>0</v>
      </c>
      <c r="T9" s="65">
        <f t="shared" si="9"/>
        <v>0</v>
      </c>
      <c r="W9" s="59"/>
    </row>
    <row r="10" spans="1:24">
      <c r="D10" s="17" t="s">
        <v>120</v>
      </c>
      <c r="E10" s="22">
        <f>_2045_PeakVolume/_2045_Capacity</f>
        <v>0.83905717705551974</v>
      </c>
      <c r="F10" s="26"/>
      <c r="H10" s="49">
        <f t="shared" si="3"/>
        <v>2024</v>
      </c>
      <c r="I10" s="80">
        <f t="shared" si="10"/>
        <v>13858.926148528597</v>
      </c>
      <c r="J10" s="50">
        <f t="shared" si="4"/>
        <v>954880.01163362036</v>
      </c>
      <c r="K10" s="50">
        <f>IF(H10=Year_Open_to_Traffic?,Calculations!$E$4,K9+(K9*M10))</f>
        <v>827562.6767491377</v>
      </c>
      <c r="L10" s="50">
        <f>IF(AND(H10&gt;=Year_Open_to_Traffic?, Calculations!H10&lt;Year_Open_to_Traffic?+'Inputs &amp; Outputs'!B$21), 1, 0)</f>
        <v>1</v>
      </c>
      <c r="M10" s="66">
        <f t="shared" si="5"/>
        <v>4.7772377482630857E-2</v>
      </c>
      <c r="N10" s="72">
        <f t="shared" si="6"/>
        <v>0.63801335735791365</v>
      </c>
      <c r="O10" s="73">
        <f t="shared" si="7"/>
        <v>1</v>
      </c>
      <c r="P10" s="69">
        <f>(J10-K10)*L10</f>
        <v>127317.33488448267</v>
      </c>
      <c r="Q10" s="70">
        <f t="shared" si="0"/>
        <v>1</v>
      </c>
      <c r="R10" s="71">
        <f t="shared" si="1"/>
        <v>20.320200961804083</v>
      </c>
      <c r="S10" s="78">
        <f t="shared" si="2"/>
        <v>3596.0882247758564</v>
      </c>
      <c r="T10" s="65">
        <f t="shared" si="9"/>
        <v>2396.225424737519</v>
      </c>
      <c r="W10" s="59"/>
    </row>
    <row r="11" spans="1:24" ht="30" customHeight="1">
      <c r="A11" s="132" t="s">
        <v>121</v>
      </c>
      <c r="B11" s="133"/>
      <c r="D11" s="17" t="s">
        <v>122</v>
      </c>
      <c r="E11" s="39">
        <f>(E9/E8)^(1/(2025-2018))-1</f>
        <v>4.7772377482630857E-2</v>
      </c>
      <c r="F11" s="26"/>
      <c r="H11" s="14">
        <f t="shared" si="3"/>
        <v>2025</v>
      </c>
      <c r="I11" s="80">
        <f t="shared" si="10"/>
        <v>14521.000000000009</v>
      </c>
      <c r="J11" s="50">
        <f t="shared" si="4"/>
        <v>1000496.9000000006</v>
      </c>
      <c r="K11" s="50">
        <f>IF(H11=Year_Open_to_Traffic?,Calculations!$E$4,K10+(K10*M11))</f>
        <v>867097.31333333394</v>
      </c>
      <c r="L11" s="50">
        <f>IF(AND(H11&gt;=Year_Open_to_Traffic?, Calculations!H11&lt;Year_Open_to_Traffic?+'Inputs &amp; Outputs'!B$21), 1, 0)</f>
        <v>1</v>
      </c>
      <c r="M11" s="66">
        <f t="shared" si="5"/>
        <v>4.7772377482630857E-2</v>
      </c>
      <c r="N11" s="72">
        <f t="shared" si="6"/>
        <v>0.6684927723045766</v>
      </c>
      <c r="O11" s="73">
        <f t="shared" si="7"/>
        <v>1</v>
      </c>
      <c r="P11" s="69">
        <f t="shared" si="8"/>
        <v>133399.58666666667</v>
      </c>
      <c r="Q11" s="70">
        <f t="shared" si="0"/>
        <v>1</v>
      </c>
      <c r="R11" s="71">
        <f t="shared" si="1"/>
        <v>20.787565583925574</v>
      </c>
      <c r="S11" s="78">
        <f t="shared" si="2"/>
        <v>3854.5431928156368</v>
      </c>
      <c r="T11" s="65">
        <f t="shared" si="9"/>
        <v>2400.4157784089457</v>
      </c>
      <c r="W11" s="59"/>
    </row>
    <row r="12" spans="1:24">
      <c r="A12" s="17" t="s">
        <v>123</v>
      </c>
      <c r="B12" s="18">
        <v>0.45</v>
      </c>
      <c r="D12" s="17" t="s">
        <v>124</v>
      </c>
      <c r="E12" s="39">
        <f>(E10/E9)^(1/(2045-2025))-1</f>
        <v>1.1427463688283401E-2</v>
      </c>
      <c r="F12" s="26"/>
      <c r="H12" s="49">
        <v>2026</v>
      </c>
      <c r="I12" s="80">
        <f t="shared" si="10"/>
        <v>14686.938200217572</v>
      </c>
      <c r="J12" s="50">
        <f t="shared" si="4"/>
        <v>1011930.0419949907</v>
      </c>
      <c r="K12" s="50">
        <f>IF(H12=Year_Open_to_Traffic?,Calculations!$E$4,K11+(K11*M12))</f>
        <v>877006.03639565874</v>
      </c>
      <c r="L12" s="50">
        <f>IF(AND(H12&gt;=Year_Open_to_Traffic?, Calculations!H12&lt;Year_Open_to_Traffic?+'Inputs &amp; Outputs'!B$21), 1, 0)</f>
        <v>1</v>
      </c>
      <c r="M12" s="66">
        <f t="shared" ref="M12:M36" si="11">IFERROR(_2025_2045_Demand_Growth,_2018_2045_Demand_Growth)</f>
        <v>1.1427463688283401E-2</v>
      </c>
      <c r="N12" s="72">
        <f t="shared" ref="N12:N36" si="12">N11*(1+IFERROR(_2025_2045_V_C_Growth,_2018_2045_V_C_Growth))</f>
        <v>0.67613194918596708</v>
      </c>
      <c r="O12" s="73">
        <f t="shared" si="7"/>
        <v>1</v>
      </c>
      <c r="P12" s="69">
        <f t="shared" si="8"/>
        <v>134924.00559933193</v>
      </c>
      <c r="Q12" s="70">
        <f t="shared" si="0"/>
        <v>1</v>
      </c>
      <c r="R12" s="71">
        <f t="shared" si="1"/>
        <v>21.265679592355859</v>
      </c>
      <c r="S12" s="78">
        <f t="shared" si="2"/>
        <v>3988.2584346257422</v>
      </c>
      <c r="T12" s="65">
        <f t="shared" si="9"/>
        <v>2321.2027203104899</v>
      </c>
      <c r="W12" s="59"/>
    </row>
    <row r="13" spans="1:24">
      <c r="A13" s="17" t="s">
        <v>55</v>
      </c>
      <c r="B13" s="18">
        <v>0.43</v>
      </c>
      <c r="D13" s="17" t="s">
        <v>125</v>
      </c>
      <c r="E13" s="39">
        <f>(E10/E8)^(1/(2045-2018))-1</f>
        <v>2.0727363887232286E-2</v>
      </c>
      <c r="F13" s="26"/>
      <c r="H13" s="14">
        <f t="shared" si="3"/>
        <v>2027</v>
      </c>
      <c r="I13" s="80">
        <f t="shared" si="10"/>
        <v>14854.77265319262</v>
      </c>
      <c r="J13" s="50">
        <f t="shared" si="4"/>
        <v>1023493.8358049715</v>
      </c>
      <c r="K13" s="50">
        <f>IF(H13=Year_Open_to_Traffic?,Calculations!$E$4,K12+(K12*M13))</f>
        <v>887027.99103097548</v>
      </c>
      <c r="L13" s="50">
        <f>IF(AND(H13&gt;=Year_Open_to_Traffic?, Calculations!H13&lt;Year_Open_to_Traffic?+'Inputs &amp; Outputs'!B$21), 1, 0)</f>
        <v>1</v>
      </c>
      <c r="M13" s="66">
        <f t="shared" si="11"/>
        <v>1.1427463688283401E-2</v>
      </c>
      <c r="N13" s="72">
        <f t="shared" si="12"/>
        <v>0.68385842248377804</v>
      </c>
      <c r="O13" s="73">
        <f t="shared" si="7"/>
        <v>1</v>
      </c>
      <c r="P13" s="69">
        <f t="shared" si="8"/>
        <v>136465.84477399604</v>
      </c>
      <c r="Q13" s="70">
        <f t="shared" si="0"/>
        <v>1</v>
      </c>
      <c r="R13" s="71">
        <f t="shared" si="1"/>
        <v>21.754790222980041</v>
      </c>
      <c r="S13" s="78">
        <f t="shared" si="2"/>
        <v>4126.6122976674569</v>
      </c>
      <c r="T13" s="65">
        <f t="shared" si="9"/>
        <v>2244.6036712640303</v>
      </c>
      <c r="W13" s="59"/>
    </row>
    <row r="14" spans="1:24">
      <c r="H14" s="49">
        <f>H13+1</f>
        <v>2028</v>
      </c>
      <c r="I14" s="80">
        <f t="shared" si="10"/>
        <v>15024.525028284685</v>
      </c>
      <c r="J14" s="50">
        <f t="shared" si="4"/>
        <v>1035189.7744488147</v>
      </c>
      <c r="K14" s="50">
        <f>IF(H14=Year_Open_to_Traffic?,Calculations!$E$4,K13+(K13*M14))</f>
        <v>897164.47118897294</v>
      </c>
      <c r="L14" s="50">
        <f>IF(AND(H14&gt;=Year_Open_to_Traffic?, Calculations!H14&lt;Year_Open_to_Traffic?+'Inputs &amp; Outputs'!B$21), 1, 0)</f>
        <v>1</v>
      </c>
      <c r="M14" s="66">
        <f t="shared" si="11"/>
        <v>1.1427463688283401E-2</v>
      </c>
      <c r="N14" s="72">
        <f t="shared" si="12"/>
        <v>0.69167318977463821</v>
      </c>
      <c r="O14" s="73">
        <f t="shared" si="7"/>
        <v>1</v>
      </c>
      <c r="P14" s="69">
        <f t="shared" si="8"/>
        <v>138025.30325984175</v>
      </c>
      <c r="Q14" s="70">
        <f t="shared" si="0"/>
        <v>1</v>
      </c>
      <c r="R14" s="71">
        <f t="shared" si="1"/>
        <v>22.255150398108579</v>
      </c>
      <c r="S14" s="78">
        <f t="shared" si="2"/>
        <v>4269.7656970813305</v>
      </c>
      <c r="T14" s="65">
        <f t="shared" si="9"/>
        <v>2170.5323696923942</v>
      </c>
      <c r="W14" s="59"/>
    </row>
    <row r="15" spans="1:24">
      <c r="H15" s="14">
        <f t="shared" si="3"/>
        <v>2029</v>
      </c>
      <c r="I15" s="80">
        <f t="shared" si="10"/>
        <v>15196.217242479113</v>
      </c>
      <c r="J15" s="50">
        <f t="shared" si="4"/>
        <v>1047019.3680068108</v>
      </c>
      <c r="K15" s="50">
        <f>IF(H15=Year_Open_to_Traffic?,Calculations!$E$4,K14+(K14*M15))</f>
        <v>907416.7856059029</v>
      </c>
      <c r="L15" s="50">
        <f>IF(AND(H15&gt;=Year_Open_to_Traffic?, Calculations!H15&lt;Year_Open_to_Traffic?+'Inputs &amp; Outputs'!B$21), 1, 0)</f>
        <v>1</v>
      </c>
      <c r="M15" s="66">
        <f t="shared" si="11"/>
        <v>1.1427463688283401E-2</v>
      </c>
      <c r="N15" s="72">
        <f t="shared" si="12"/>
        <v>0.69957726003494702</v>
      </c>
      <c r="O15" s="73">
        <f t="shared" si="7"/>
        <v>1</v>
      </c>
      <c r="P15" s="69">
        <f t="shared" si="8"/>
        <v>139602.58240090788</v>
      </c>
      <c r="Q15" s="70">
        <f t="shared" si="0"/>
        <v>1</v>
      </c>
      <c r="R15" s="71">
        <f t="shared" si="1"/>
        <v>22.767018857265079</v>
      </c>
      <c r="S15" s="78">
        <f t="shared" si="2"/>
        <v>4417.8851302016756</v>
      </c>
      <c r="T15" s="65">
        <f t="shared" si="9"/>
        <v>2098.9054006266515</v>
      </c>
      <c r="W15" s="59"/>
    </row>
    <row r="16" spans="1:24">
      <c r="H16" s="49">
        <f t="shared" si="3"/>
        <v>2030</v>
      </c>
      <c r="I16" s="80">
        <f t="shared" si="10"/>
        <v>15369.87146321681</v>
      </c>
      <c r="J16" s="50">
        <f t="shared" si="4"/>
        <v>1058984.143815638</v>
      </c>
      <c r="K16" s="50">
        <f>IF(H16=Year_Open_to_Traffic?,Calculations!$E$4,K15+(K15*M16))</f>
        <v>917786.25797355315</v>
      </c>
      <c r="L16" s="50">
        <f>IF(AND(H16&gt;=Year_Open_to_Traffic?, Calculations!H16&lt;Year_Open_to_Traffic?+'Inputs &amp; Outputs'!B$21), 1, 0)</f>
        <v>1</v>
      </c>
      <c r="M16" s="66">
        <f t="shared" si="11"/>
        <v>1.1427463688283401E-2</v>
      </c>
      <c r="N16" s="72">
        <f t="shared" si="12"/>
        <v>0.70757165377114517</v>
      </c>
      <c r="O16" s="73">
        <f t="shared" si="7"/>
        <v>1</v>
      </c>
      <c r="P16" s="69">
        <f t="shared" si="8"/>
        <v>141197.88584208488</v>
      </c>
      <c r="Q16" s="70">
        <f t="shared" si="0"/>
        <v>1</v>
      </c>
      <c r="R16" s="71">
        <f t="shared" si="1"/>
        <v>23.290660290982171</v>
      </c>
      <c r="S16" s="78">
        <f t="shared" si="2"/>
        <v>4571.1428702045032</v>
      </c>
      <c r="T16" s="65">
        <f t="shared" si="9"/>
        <v>2029.6421017688197</v>
      </c>
      <c r="W16" s="59"/>
    </row>
    <row r="17" spans="1:23">
      <c r="A17" s="27"/>
      <c r="H17" s="14">
        <f t="shared" si="3"/>
        <v>2031</v>
      </c>
      <c r="I17" s="80">
        <f t="shared" si="10"/>
        <v>15545.510111256304</v>
      </c>
      <c r="J17" s="50">
        <f t="shared" si="4"/>
        <v>1071085.6466655592</v>
      </c>
      <c r="K17" s="50">
        <f>IF(H17=Year_Open_to_Traffic?,Calculations!$E$4,K16+(K16*M17))</f>
        <v>928274.22711015143</v>
      </c>
      <c r="L17" s="50">
        <f>IF(AND(H17&gt;=Year_Open_to_Traffic?, Calculations!H17&lt;Year_Open_to_Traffic?+'Inputs &amp; Outputs'!B$21), 1, 0)</f>
        <v>1</v>
      </c>
      <c r="M17" s="66">
        <f t="shared" si="11"/>
        <v>1.1427463688283401E-2</v>
      </c>
      <c r="N17" s="72">
        <f t="shared" si="12"/>
        <v>0.71565740315147353</v>
      </c>
      <c r="O17" s="73">
        <f t="shared" si="7"/>
        <v>1</v>
      </c>
      <c r="P17" s="69">
        <f t="shared" si="8"/>
        <v>142811.41955540772</v>
      </c>
      <c r="Q17" s="70">
        <f t="shared" si="0"/>
        <v>1</v>
      </c>
      <c r="R17" s="71">
        <f t="shared" si="1"/>
        <v>23.82634547767476</v>
      </c>
      <c r="S17" s="78">
        <f t="shared" si="2"/>
        <v>4729.7171664731795</v>
      </c>
      <c r="T17" s="65">
        <f t="shared" si="9"/>
        <v>1962.6644726544814</v>
      </c>
      <c r="W17" s="59"/>
    </row>
    <row r="18" spans="1:23">
      <c r="H18" s="49">
        <f t="shared" si="3"/>
        <v>2032</v>
      </c>
      <c r="I18" s="80">
        <f t="shared" si="10"/>
        <v>15723.155863568529</v>
      </c>
      <c r="J18" s="50">
        <f t="shared" si="4"/>
        <v>1083325.4389998713</v>
      </c>
      <c r="K18" s="50">
        <f>IF(H18=Year_Open_to_Traffic?,Calculations!$E$4,K17+(K17*M18))</f>
        <v>938882.04713322199</v>
      </c>
      <c r="L18" s="50">
        <f>IF(AND(H18&gt;=Year_Open_to_Traffic?, Calculations!H18&lt;Year_Open_to_Traffic?+'Inputs &amp; Outputs'!B$21), 1, 0)</f>
        <v>1</v>
      </c>
      <c r="M18" s="66">
        <f t="shared" si="11"/>
        <v>1.1427463688283401E-2</v>
      </c>
      <c r="N18" s="72">
        <f t="shared" si="12"/>
        <v>0.72383555213923823</v>
      </c>
      <c r="O18" s="73">
        <f t="shared" si="7"/>
        <v>1</v>
      </c>
      <c r="P18" s="69">
        <f t="shared" si="8"/>
        <v>144443.39186664927</v>
      </c>
      <c r="Q18" s="70">
        <f t="shared" si="0"/>
        <v>1</v>
      </c>
      <c r="R18" s="71">
        <f t="shared" si="1"/>
        <v>24.374351423661277</v>
      </c>
      <c r="S18" s="78">
        <f t="shared" si="2"/>
        <v>4893.7924519148237</v>
      </c>
      <c r="T18" s="65">
        <f t="shared" si="9"/>
        <v>1897.8970868130166</v>
      </c>
      <c r="W18" s="59"/>
    </row>
    <row r="19" spans="1:23">
      <c r="H19" s="14">
        <f t="shared" si="3"/>
        <v>2033</v>
      </c>
      <c r="I19" s="80">
        <f t="shared" si="10"/>
        <v>15902.831656264678</v>
      </c>
      <c r="J19" s="50">
        <f t="shared" si="4"/>
        <v>1095705.1011166361</v>
      </c>
      <c r="K19" s="50">
        <f>IF(H19=Year_Open_to_Traffic?,Calculations!$E$4,K18+(K18*M19))</f>
        <v>949611.08763441804</v>
      </c>
      <c r="L19" s="50">
        <f>IF(AND(H19&gt;=Year_Open_to_Traffic?, Calculations!H19&lt;Year_Open_to_Traffic?+'Inputs &amp; Outputs'!B$21), 1, 0)</f>
        <v>1</v>
      </c>
      <c r="M19" s="66">
        <f t="shared" si="11"/>
        <v>1.1427463688283401E-2</v>
      </c>
      <c r="N19" s="72">
        <f t="shared" si="12"/>
        <v>0.73210715662759795</v>
      </c>
      <c r="O19" s="73">
        <f t="shared" si="7"/>
        <v>1</v>
      </c>
      <c r="P19" s="69">
        <f t="shared" si="8"/>
        <v>146094.01348221803</v>
      </c>
      <c r="Q19" s="70">
        <f t="shared" si="0"/>
        <v>1</v>
      </c>
      <c r="R19" s="71">
        <f t="shared" si="1"/>
        <v>24.934961506405479</v>
      </c>
      <c r="S19" s="78">
        <f t="shared" si="2"/>
        <v>5063.5595574685913</v>
      </c>
      <c r="T19" s="65">
        <f t="shared" si="9"/>
        <v>1835.267006826519</v>
      </c>
      <c r="W19" s="59"/>
    </row>
    <row r="20" spans="1:23">
      <c r="H20" s="49">
        <f t="shared" si="3"/>
        <v>2034</v>
      </c>
      <c r="I20" s="80">
        <f t="shared" si="10"/>
        <v>16084.560687557527</v>
      </c>
      <c r="J20" s="50">
        <f t="shared" si="4"/>
        <v>1108226.2313727133</v>
      </c>
      <c r="K20" s="50">
        <f>IF(H20=Year_Open_to_Traffic?,Calculations!$E$4,K19+(K19*M20))</f>
        <v>960462.7338563517</v>
      </c>
      <c r="L20" s="50">
        <f>IF(AND(H20&gt;=Year_Open_to_Traffic?, Calculations!H20&lt;Year_Open_to_Traffic?+'Inputs &amp; Outputs'!B$21), 1, 0)</f>
        <v>1</v>
      </c>
      <c r="M20" s="66">
        <f t="shared" si="11"/>
        <v>1.1427463688283401E-2</v>
      </c>
      <c r="N20" s="72">
        <f t="shared" si="12"/>
        <v>0.74047328457589223</v>
      </c>
      <c r="O20" s="73">
        <f t="shared" si="7"/>
        <v>1</v>
      </c>
      <c r="P20" s="69">
        <f t="shared" si="8"/>
        <v>147763.49751636165</v>
      </c>
      <c r="Q20" s="70">
        <f t="shared" si="0"/>
        <v>1</v>
      </c>
      <c r="R20" s="71">
        <f t="shared" si="1"/>
        <v>25.508465621052807</v>
      </c>
      <c r="S20" s="78">
        <f t="shared" si="2"/>
        <v>5239.2159340552598</v>
      </c>
      <c r="T20" s="65">
        <f t="shared" si="9"/>
        <v>1774.7037021917354</v>
      </c>
      <c r="W20" s="59"/>
    </row>
    <row r="21" spans="1:23">
      <c r="H21" s="14">
        <f t="shared" si="3"/>
        <v>2035</v>
      </c>
      <c r="I21" s="80">
        <f t="shared" si="10"/>
        <v>16268.366420756582</v>
      </c>
      <c r="J21" s="50">
        <f t="shared" si="4"/>
        <v>1120890.4463901282</v>
      </c>
      <c r="K21" s="50">
        <f>IF(H21=Year_Open_to_Traffic?,Calculations!$E$4,K20+(K20*M21))</f>
        <v>971438.38687144453</v>
      </c>
      <c r="L21" s="50">
        <f>IF(AND(H21&gt;=Year_Open_to_Traffic?, Calculations!H21&lt;Year_Open_to_Traffic?+'Inputs &amp; Outputs'!B$21), 1, 0)</f>
        <v>1</v>
      </c>
      <c r="M21" s="66">
        <f t="shared" si="11"/>
        <v>1.1427463688283401E-2</v>
      </c>
      <c r="N21" s="72">
        <f t="shared" si="12"/>
        <v>0.74893501614752722</v>
      </c>
      <c r="O21" s="73">
        <f t="shared" si="7"/>
        <v>1</v>
      </c>
      <c r="P21" s="69">
        <f t="shared" si="8"/>
        <v>149452.0595186837</v>
      </c>
      <c r="Q21" s="70">
        <f t="shared" si="0"/>
        <v>1</v>
      </c>
      <c r="R21" s="71">
        <f t="shared" si="1"/>
        <v>26.095160330337016</v>
      </c>
      <c r="S21" s="78">
        <f t="shared" si="2"/>
        <v>5420.9658822263791</v>
      </c>
      <c r="T21" s="65">
        <f t="shared" si="9"/>
        <v>1716.1389698925532</v>
      </c>
      <c r="W21" s="59"/>
    </row>
    <row r="22" spans="1:23">
      <c r="H22" s="49">
        <f>H21+1</f>
        <v>2036</v>
      </c>
      <c r="I22" s="80">
        <f t="shared" si="10"/>
        <v>16454.272587297466</v>
      </c>
      <c r="J22" s="50">
        <f t="shared" si="4"/>
        <v>1133699.3812647951</v>
      </c>
      <c r="K22" s="50">
        <f>IF(H22=Year_Open_to_Traffic?,Calculations!$E$4,K21+(K21*M22))</f>
        <v>982539.46376282256</v>
      </c>
      <c r="L22" s="50">
        <f>IF(AND(H22&gt;=Year_Open_to_Traffic?, Calculations!H22&lt;Year_Open_to_Traffic?+'Inputs &amp; Outputs'!B$21), 1, 0)</f>
        <v>1</v>
      </c>
      <c r="M22" s="66">
        <f t="shared" si="11"/>
        <v>1.1427463688283401E-2</v>
      </c>
      <c r="N22" s="72">
        <f t="shared" si="12"/>
        <v>0.75749344384943706</v>
      </c>
      <c r="O22" s="73">
        <f t="shared" si="7"/>
        <v>1</v>
      </c>
      <c r="P22" s="69">
        <f t="shared" si="8"/>
        <v>151159.91750197252</v>
      </c>
      <c r="Q22" s="70">
        <f t="shared" si="0"/>
        <v>1</v>
      </c>
      <c r="R22" s="71">
        <f t="shared" si="1"/>
        <v>26.695349017934767</v>
      </c>
      <c r="S22" s="78">
        <f t="shared" si="2"/>
        <v>5609.020789779961</v>
      </c>
      <c r="T22" s="65">
        <f t="shared" si="9"/>
        <v>1659.5068575935634</v>
      </c>
      <c r="W22" s="59"/>
    </row>
    <row r="23" spans="1:23">
      <c r="H23" s="14">
        <f t="shared" si="3"/>
        <v>2037</v>
      </c>
      <c r="I23" s="80">
        <f t="shared" si="10"/>
        <v>16642.303189805923</v>
      </c>
      <c r="J23" s="50">
        <f t="shared" si="4"/>
        <v>1146654.6897776278</v>
      </c>
      <c r="K23" s="50">
        <f>IF(H23=Year_Open_to_Traffic?,Calculations!$E$4,K22+(K22*M23))</f>
        <v>993767.39780727762</v>
      </c>
      <c r="L23" s="50">
        <f>IF(AND(H23&gt;=Year_Open_to_Traffic?, Calculations!H23&lt;Year_Open_to_Traffic?+'Inputs &amp; Outputs'!B$21), 1, 0)</f>
        <v>1</v>
      </c>
      <c r="M23" s="66">
        <f t="shared" si="11"/>
        <v>1.1427463688283401E-2</v>
      </c>
      <c r="N23" s="72">
        <f t="shared" si="12"/>
        <v>0.76614967267313927</v>
      </c>
      <c r="O23" s="73">
        <f t="shared" si="7"/>
        <v>1</v>
      </c>
      <c r="P23" s="69">
        <f t="shared" si="8"/>
        <v>152887.2919703502</v>
      </c>
      <c r="Q23" s="70">
        <f t="shared" si="0"/>
        <v>1</v>
      </c>
      <c r="R23" s="71">
        <f t="shared" si="1"/>
        <v>27.309342045347261</v>
      </c>
      <c r="S23" s="78">
        <f t="shared" si="2"/>
        <v>5803.5993776191826</v>
      </c>
      <c r="T23" s="65">
        <f t="shared" si="9"/>
        <v>1604.7435893682257</v>
      </c>
      <c r="W23" s="59"/>
    </row>
    <row r="24" spans="1:23">
      <c r="H24" s="49">
        <f t="shared" si="3"/>
        <v>2038</v>
      </c>
      <c r="I24" s="80">
        <f t="shared" si="10"/>
        <v>16832.482505196833</v>
      </c>
      <c r="J24" s="50">
        <f t="shared" si="4"/>
        <v>1159758.0446080614</v>
      </c>
      <c r="K24" s="50">
        <f>IF(H24=Year_Open_to_Traffic?,Calculations!$E$4,K23+(K23*M24))</f>
        <v>1005123.6386603202</v>
      </c>
      <c r="L24" s="50">
        <f>IF(AND(H24&gt;=Year_Open_to_Traffic?, Calculations!H24&lt;Year_Open_to_Traffic?+'Inputs &amp; Outputs'!B$21), 1, 0)</f>
        <v>1</v>
      </c>
      <c r="M24" s="66">
        <f t="shared" si="11"/>
        <v>1.1427463688283401E-2</v>
      </c>
      <c r="N24" s="72">
        <f t="shared" si="12"/>
        <v>0.77490482023740181</v>
      </c>
      <c r="O24" s="73">
        <f t="shared" si="7"/>
        <v>1</v>
      </c>
      <c r="P24" s="69">
        <f>(J24-K24)*L24</f>
        <v>154634.40594774124</v>
      </c>
      <c r="Q24" s="70">
        <f t="shared" si="0"/>
        <v>1</v>
      </c>
      <c r="R24" s="71">
        <f t="shared" si="1"/>
        <v>27.93745691239025</v>
      </c>
      <c r="S24" s="78">
        <f t="shared" si="2"/>
        <v>6004.9279541399346</v>
      </c>
      <c r="T24" s="65">
        <f t="shared" si="9"/>
        <v>1551.7874938779667</v>
      </c>
      <c r="W24" s="59"/>
    </row>
    <row r="25" spans="1:23">
      <c r="H25" s="14">
        <f t="shared" si="3"/>
        <v>2039</v>
      </c>
      <c r="I25" s="80">
        <f t="shared" si="10"/>
        <v>17024.835087808635</v>
      </c>
      <c r="J25" s="50">
        <f t="shared" si="4"/>
        <v>1173011.1375500145</v>
      </c>
      <c r="K25" s="50">
        <f>IF(H25=Year_Open_to_Traffic?,Calculations!$E$4,K24+(K24*M25))</f>
        <v>1016609.6525433463</v>
      </c>
      <c r="L25" s="50">
        <f>IF(AND(H25&gt;=Year_Open_to_Traffic?, Calculations!H25&lt;Year_Open_to_Traffic?+'Inputs &amp; Outputs'!B$21), 1, 0)</f>
        <v>1</v>
      </c>
      <c r="M25" s="66">
        <f t="shared" si="11"/>
        <v>1.1427463688283401E-2</v>
      </c>
      <c r="N25" s="72">
        <f t="shared" si="12"/>
        <v>0.78376001693254049</v>
      </c>
      <c r="O25" s="73">
        <f t="shared" si="7"/>
        <v>1</v>
      </c>
      <c r="P25" s="69">
        <f t="shared" si="8"/>
        <v>156401.48500666826</v>
      </c>
      <c r="Q25" s="70">
        <f t="shared" si="0"/>
        <v>1</v>
      </c>
      <c r="R25" s="71">
        <f t="shared" si="1"/>
        <v>28.580018421375218</v>
      </c>
      <c r="S25" s="78">
        <f t="shared" si="2"/>
        <v>6213.2406784432151</v>
      </c>
      <c r="T25" s="65">
        <f t="shared" si="9"/>
        <v>1500.5789349213651</v>
      </c>
      <c r="W25" s="59"/>
    </row>
    <row r="26" spans="1:23">
      <c r="H26" s="49">
        <f t="shared" si="3"/>
        <v>2040</v>
      </c>
      <c r="I26" s="80">
        <f t="shared" si="10"/>
        <v>17219.38577257358</v>
      </c>
      <c r="J26" s="50">
        <f t="shared" si="4"/>
        <v>1186415.6797303194</v>
      </c>
      <c r="K26" s="50">
        <f>IF(H26=Year_Open_to_Traffic?,Calculations!$E$4,K25+(K25*M26))</f>
        <v>1028226.9224329438</v>
      </c>
      <c r="L26" s="50">
        <f>IF(AND(H26&gt;=Year_Open_to_Traffic?, Calculations!H26&lt;Year_Open_to_Traffic?+'Inputs &amp; Outputs'!B$21), 1, 0)</f>
        <v>1</v>
      </c>
      <c r="M26" s="66">
        <f t="shared" si="11"/>
        <v>1.1427463688283401E-2</v>
      </c>
      <c r="N26" s="72">
        <f t="shared" si="12"/>
        <v>0.79271640606636551</v>
      </c>
      <c r="O26" s="73">
        <f t="shared" si="7"/>
        <v>1</v>
      </c>
      <c r="P26" s="69">
        <f t="shared" si="8"/>
        <v>158188.75729737559</v>
      </c>
      <c r="Q26" s="70">
        <f t="shared" si="0"/>
        <v>1</v>
      </c>
      <c r="R26" s="71">
        <f t="shared" si="1"/>
        <v>29.237358845066851</v>
      </c>
      <c r="S26" s="78">
        <f t="shared" si="2"/>
        <v>6428.7798326783941</v>
      </c>
      <c r="T26" s="65">
        <f t="shared" si="9"/>
        <v>1451.0602442751858</v>
      </c>
      <c r="W26" s="59"/>
    </row>
    <row r="27" spans="1:23">
      <c r="H27" s="14">
        <f t="shared" si="3"/>
        <v>2041</v>
      </c>
      <c r="I27" s="80">
        <f t="shared" si="10"/>
        <v>17416.159678224209</v>
      </c>
      <c r="J27" s="50">
        <f t="shared" si="4"/>
        <v>1199973.4018296476</v>
      </c>
      <c r="K27" s="50">
        <f>IF(H27=Year_Open_to_Traffic?,Calculations!$E$4,K26+(K26*M27))</f>
        <v>1039976.9482523617</v>
      </c>
      <c r="L27" s="50">
        <f>IF(AND(H27&gt;=Year_Open_to_Traffic?, Calculations!H27&lt;Year_Open_to_Traffic?+'Inputs &amp; Outputs'!B$21), 1, 0)</f>
        <v>1</v>
      </c>
      <c r="M27" s="66">
        <f t="shared" si="11"/>
        <v>1.1427463688283401E-2</v>
      </c>
      <c r="N27" s="72">
        <f t="shared" si="12"/>
        <v>0.80177514401179539</v>
      </c>
      <c r="O27" s="73">
        <f t="shared" si="7"/>
        <v>1</v>
      </c>
      <c r="P27" s="69">
        <f t="shared" si="8"/>
        <v>159996.45357728587</v>
      </c>
      <c r="Q27" s="70">
        <f t="shared" si="0"/>
        <v>1</v>
      </c>
      <c r="R27" s="71">
        <f t="shared" si="1"/>
        <v>29.909818098503379</v>
      </c>
      <c r="S27" s="78">
        <f t="shared" si="2"/>
        <v>6651.7961038341418</v>
      </c>
      <c r="T27" s="65">
        <f t="shared" si="9"/>
        <v>1403.1756567516372</v>
      </c>
      <c r="W27" s="59"/>
    </row>
    <row r="28" spans="1:23">
      <c r="H28" s="49">
        <f t="shared" si="3"/>
        <v>2042</v>
      </c>
      <c r="I28" s="80">
        <f t="shared" si="10"/>
        <v>17615.182210536463</v>
      </c>
      <c r="J28" s="50">
        <f t="shared" si="4"/>
        <v>1213686.0543059618</v>
      </c>
      <c r="K28" s="50">
        <f>IF(H28=Year_Open_to_Traffic?,Calculations!$E$4,K27+(K27*M28))</f>
        <v>1051861.2470651674</v>
      </c>
      <c r="L28" s="50">
        <f>IF(AND(H28&gt;=Year_Open_to_Traffic?, Calculations!H28&lt;Year_Open_to_Traffic?+'Inputs &amp; Outputs'!B$21), 1, 0)</f>
        <v>1</v>
      </c>
      <c r="M28" s="66">
        <f t="shared" si="11"/>
        <v>1.1427463688283401E-2</v>
      </c>
      <c r="N28" s="72">
        <f t="shared" si="12"/>
        <v>0.81093740035615836</v>
      </c>
      <c r="O28" s="73">
        <f t="shared" si="7"/>
        <v>1</v>
      </c>
      <c r="P28" s="69">
        <f t="shared" si="8"/>
        <v>161824.80724079441</v>
      </c>
      <c r="Q28" s="70">
        <f t="shared" si="0"/>
        <v>1</v>
      </c>
      <c r="R28" s="71">
        <f t="shared" si="1"/>
        <v>30.597743914768959</v>
      </c>
      <c r="S28" s="78">
        <f t="shared" si="2"/>
        <v>6882.5488753048403</v>
      </c>
      <c r="T28" s="65">
        <f t="shared" si="9"/>
        <v>1356.8712473987391</v>
      </c>
      <c r="W28" s="59"/>
    </row>
    <row r="29" spans="1:23">
      <c r="H29" s="14">
        <f t="shared" si="3"/>
        <v>2043</v>
      </c>
      <c r="I29" s="80">
        <f t="shared" si="10"/>
        <v>17816.479065609863</v>
      </c>
      <c r="J29" s="50">
        <f t="shared" si="4"/>
        <v>1227555.4076205192</v>
      </c>
      <c r="K29" s="50">
        <f>IF(H29=Year_Open_to_Traffic?,Calculations!$E$4,K28+(K28*M29))</f>
        <v>1063881.3532711172</v>
      </c>
      <c r="L29" s="50">
        <f>IF(AND(H29&gt;=Year_Open_to_Traffic?, Calculations!H29&lt;Year_Open_to_Traffic?+'Inputs &amp; Outputs'!B$21), 1, 0)</f>
        <v>1</v>
      </c>
      <c r="M29" s="66">
        <f t="shared" si="11"/>
        <v>1.1427463688283401E-2</v>
      </c>
      <c r="N29" s="72">
        <f t="shared" si="12"/>
        <v>0.82020435805219927</v>
      </c>
      <c r="O29" s="73">
        <f t="shared" si="7"/>
        <v>1</v>
      </c>
      <c r="P29" s="69">
        <f t="shared" si="8"/>
        <v>163674.05434940197</v>
      </c>
      <c r="Q29" s="70">
        <f t="shared" si="0"/>
        <v>1</v>
      </c>
      <c r="R29" s="71">
        <f t="shared" si="1"/>
        <v>31.301492024808638</v>
      </c>
      <c r="S29" s="78">
        <f t="shared" si="2"/>
        <v>7121.3065285714029</v>
      </c>
      <c r="T29" s="65">
        <f t="shared" si="9"/>
        <v>1312.0948707730361</v>
      </c>
      <c r="W29" s="59"/>
    </row>
    <row r="30" spans="1:23">
      <c r="H30" s="14">
        <f t="shared" si="3"/>
        <v>2044</v>
      </c>
      <c r="I30" s="80">
        <f t="shared" si="10"/>
        <v>18020.07623318518</v>
      </c>
      <c r="J30" s="50">
        <f t="shared" si="4"/>
        <v>1241583.2524664586</v>
      </c>
      <c r="K30" s="50">
        <f>IF(H30=Year_Open_to_Traffic?,Calculations!$E$4,K29+(K29*M30))</f>
        <v>1076038.8188042648</v>
      </c>
      <c r="L30" s="50">
        <f>IF(AND(H30&gt;=Year_Open_to_Traffic?, Calculations!H30&lt;Year_Open_to_Traffic?+'Inputs &amp; Outputs'!B$21), 1, 0)</f>
        <v>0</v>
      </c>
      <c r="M30" s="66">
        <f t="shared" si="11"/>
        <v>1.1427463688283401E-2</v>
      </c>
      <c r="N30" s="72">
        <f t="shared" si="12"/>
        <v>0.8295772135708126</v>
      </c>
      <c r="O30" s="73">
        <f t="shared" si="7"/>
        <v>1</v>
      </c>
      <c r="P30" s="69">
        <f t="shared" si="8"/>
        <v>0</v>
      </c>
      <c r="Q30" s="70">
        <f t="shared" si="0"/>
        <v>0</v>
      </c>
      <c r="R30" s="71">
        <f t="shared" si="1"/>
        <v>32.021426341379232</v>
      </c>
      <c r="S30" s="78">
        <f t="shared" si="2"/>
        <v>0</v>
      </c>
      <c r="T30" s="65">
        <f t="shared" si="9"/>
        <v>0</v>
      </c>
      <c r="W30" s="59"/>
    </row>
    <row r="31" spans="1:23">
      <c r="H31" s="14">
        <f t="shared" si="3"/>
        <v>2045</v>
      </c>
      <c r="I31" s="80">
        <f t="shared" si="10"/>
        <v>18226.000000000004</v>
      </c>
      <c r="J31" s="50">
        <f t="shared" si="4"/>
        <v>1255771.3999999999</v>
      </c>
      <c r="K31" s="50">
        <f>IF(H31=Year_Open_to_Traffic?,Calculations!$E$4,K30+(K30*M31))</f>
        <v>1088335.2133333338</v>
      </c>
      <c r="L31" s="50">
        <f>IF(AND(H31&gt;=Year_Open_to_Traffic?, Calculations!H31&lt;Year_Open_to_Traffic?+'Inputs &amp; Outputs'!B$21), 1, 0)</f>
        <v>0</v>
      </c>
      <c r="M31" s="66">
        <f t="shared" si="11"/>
        <v>1.1427463688283401E-2</v>
      </c>
      <c r="N31" s="72">
        <f t="shared" si="12"/>
        <v>0.83905717705552041</v>
      </c>
      <c r="O31" s="73">
        <f t="shared" si="7"/>
        <v>1</v>
      </c>
      <c r="P31" s="69">
        <f t="shared" si="8"/>
        <v>0</v>
      </c>
      <c r="Q31" s="70">
        <f t="shared" si="0"/>
        <v>0</v>
      </c>
      <c r="R31" s="71">
        <f t="shared" si="1"/>
        <v>32.757919147230957</v>
      </c>
      <c r="S31" s="78">
        <f t="shared" si="2"/>
        <v>0</v>
      </c>
      <c r="T31" s="65">
        <f t="shared" si="9"/>
        <v>0</v>
      </c>
      <c r="W31" s="59"/>
    </row>
    <row r="32" spans="1:23">
      <c r="H32" s="14">
        <f t="shared" si="3"/>
        <v>2046</v>
      </c>
      <c r="I32" s="80">
        <f t="shared" si="10"/>
        <v>18434.276953182656</v>
      </c>
      <c r="J32" s="50">
        <f t="shared" si="4"/>
        <v>1270121.6820742846</v>
      </c>
      <c r="K32" s="50">
        <f>IF(H32=Year_Open_to_Traffic?,Calculations!$E$4,K31+(K31*M32))</f>
        <v>1100772.1244643808</v>
      </c>
      <c r="L32" s="50">
        <f>IF(AND(H32&gt;=Year_Open_to_Traffic?, Calculations!H32&lt;Year_Open_to_Traffic?+'Inputs &amp; Outputs'!B$21), 1, 0)</f>
        <v>0</v>
      </c>
      <c r="M32" s="66">
        <f t="shared" si="11"/>
        <v>1.1427463688283401E-2</v>
      </c>
      <c r="N32" s="72">
        <f t="shared" si="12"/>
        <v>0.84864547247871591</v>
      </c>
      <c r="O32" s="73">
        <f t="shared" si="7"/>
        <v>1</v>
      </c>
      <c r="P32" s="69">
        <f t="shared" si="8"/>
        <v>0</v>
      </c>
      <c r="Q32" s="70">
        <f t="shared" si="0"/>
        <v>0</v>
      </c>
      <c r="R32" s="71">
        <f t="shared" si="1"/>
        <v>33.511351287617266</v>
      </c>
      <c r="S32" s="78">
        <f t="shared" si="2"/>
        <v>0</v>
      </c>
      <c r="T32" s="65">
        <f t="shared" si="9"/>
        <v>0</v>
      </c>
      <c r="W32" s="59"/>
    </row>
    <row r="33" spans="8:23">
      <c r="H33" s="14">
        <f t="shared" si="3"/>
        <v>2047</v>
      </c>
      <c r="I33" s="80">
        <f t="shared" si="10"/>
        <v>18644.93398368491</v>
      </c>
      <c r="J33" s="50">
        <f t="shared" si="4"/>
        <v>1284635.9514758899</v>
      </c>
      <c r="K33" s="50">
        <f>IF(H33=Year_Open_to_Traffic?,Calculations!$E$4,K32+(K32*M33))</f>
        <v>1113351.1579457722</v>
      </c>
      <c r="L33" s="50">
        <f>IF(AND(H33&gt;=Year_Open_to_Traffic?, Calculations!H33&lt;Year_Open_to_Traffic?+'Inputs &amp; Outputs'!B$21), 1, 0)</f>
        <v>0</v>
      </c>
      <c r="M33" s="66">
        <f t="shared" si="11"/>
        <v>1.1427463688283401E-2</v>
      </c>
      <c r="N33" s="72">
        <f t="shared" si="12"/>
        <v>0.85834333779969252</v>
      </c>
      <c r="O33" s="73">
        <f t="shared" si="7"/>
        <v>1</v>
      </c>
      <c r="P33" s="69">
        <f t="shared" si="8"/>
        <v>0</v>
      </c>
      <c r="Q33" s="70">
        <f t="shared" si="0"/>
        <v>0</v>
      </c>
      <c r="R33" s="71">
        <f t="shared" si="1"/>
        <v>34.282112367232457</v>
      </c>
      <c r="S33" s="78">
        <f t="shared" si="2"/>
        <v>0</v>
      </c>
      <c r="T33" s="65">
        <f t="shared" si="9"/>
        <v>0</v>
      </c>
      <c r="W33" s="59"/>
    </row>
    <row r="34" spans="8:23">
      <c r="H34" s="14">
        <f t="shared" si="3"/>
        <v>2048</v>
      </c>
      <c r="I34" s="80">
        <f t="shared" si="10"/>
        <v>18857.998289753912</v>
      </c>
      <c r="J34" s="50">
        <f t="shared" si="4"/>
        <v>1299316.082164044</v>
      </c>
      <c r="K34" s="50">
        <f>IF(H34=Year_Open_to_Traffic?,Calculations!$E$4,K33+(K33*M34))</f>
        <v>1126073.9378755058</v>
      </c>
      <c r="L34" s="50">
        <f>IF(AND(H34&gt;=Year_Open_to_Traffic?, Calculations!H34&lt;Year_Open_to_Traffic?+'Inputs &amp; Outputs'!B$21), 1, 0)</f>
        <v>0</v>
      </c>
      <c r="M34" s="66">
        <f t="shared" si="11"/>
        <v>1.1427463688283401E-2</v>
      </c>
      <c r="N34" s="72">
        <f t="shared" si="12"/>
        <v>0.86815202512447853</v>
      </c>
      <c r="O34" s="73">
        <f t="shared" si="7"/>
        <v>1</v>
      </c>
      <c r="P34" s="69">
        <f t="shared" si="8"/>
        <v>0</v>
      </c>
      <c r="Q34" s="70">
        <f t="shared" si="0"/>
        <v>0</v>
      </c>
      <c r="R34" s="71">
        <f t="shared" si="1"/>
        <v>35.070600951678806</v>
      </c>
      <c r="S34" s="78">
        <f t="shared" si="2"/>
        <v>0</v>
      </c>
      <c r="T34" s="65">
        <f t="shared" si="9"/>
        <v>0</v>
      </c>
      <c r="W34" s="59"/>
    </row>
    <row r="35" spans="8:23">
      <c r="H35" s="14">
        <f t="shared" si="3"/>
        <v>2049</v>
      </c>
      <c r="I35" s="80">
        <f t="shared" si="10"/>
        <v>19073.497380443787</v>
      </c>
      <c r="J35" s="50">
        <f t="shared" si="4"/>
        <v>1314163.9695125762</v>
      </c>
      <c r="K35" s="50">
        <f>IF(H35=Year_Open_to_Traffic?,Calculations!$E$4,K34+(K34*M35))</f>
        <v>1138942.1069109004</v>
      </c>
      <c r="L35" s="50">
        <f>IF(AND(H35&gt;=Year_Open_to_Traffic?, Calculations!H35&lt;Year_Open_to_Traffic?+'Inputs &amp; Outputs'!B$21), 1, 0)</f>
        <v>0</v>
      </c>
      <c r="M35" s="66">
        <f t="shared" si="11"/>
        <v>1.1427463688283401E-2</v>
      </c>
      <c r="N35" s="72">
        <f t="shared" si="12"/>
        <v>0.87807280086749817</v>
      </c>
      <c r="O35" s="73">
        <f t="shared" si="7"/>
        <v>1</v>
      </c>
      <c r="P35" s="69">
        <f t="shared" si="8"/>
        <v>0</v>
      </c>
      <c r="Q35" s="70">
        <f t="shared" si="0"/>
        <v>0</v>
      </c>
      <c r="R35" s="71">
        <f t="shared" si="1"/>
        <v>35.877224773567399</v>
      </c>
      <c r="S35" s="78">
        <f t="shared" si="2"/>
        <v>0</v>
      </c>
      <c r="T35" s="65">
        <f t="shared" si="9"/>
        <v>0</v>
      </c>
      <c r="W35" s="59"/>
    </row>
    <row r="36" spans="8:23">
      <c r="H36" s="14">
        <f t="shared" si="3"/>
        <v>2050</v>
      </c>
      <c r="I36" s="80">
        <f t="shared" si="10"/>
        <v>19291.459079167376</v>
      </c>
      <c r="J36" s="50">
        <f t="shared" si="4"/>
        <v>1329181.5305546315</v>
      </c>
      <c r="K36" s="50">
        <f>IF(H36=Year_Open_to_Traffic?,Calculations!$E$4,K35+(K35*M36))</f>
        <v>1151957.3264806818</v>
      </c>
      <c r="L36" s="50">
        <f>IF(AND(H36&gt;=Year_Open_to_Traffic?, Calculations!H36&lt;Year_Open_to_Traffic?+'Inputs &amp; Outputs'!B$21), 1, 0)</f>
        <v>0</v>
      </c>
      <c r="M36" s="66">
        <f t="shared" si="11"/>
        <v>1.1427463688283401E-2</v>
      </c>
      <c r="N36" s="72">
        <f t="shared" si="12"/>
        <v>0.88810694591508077</v>
      </c>
      <c r="O36" s="73">
        <f t="shared" si="7"/>
        <v>1</v>
      </c>
      <c r="P36" s="69">
        <f t="shared" si="8"/>
        <v>0</v>
      </c>
      <c r="Q36" s="70">
        <f t="shared" si="0"/>
        <v>0</v>
      </c>
      <c r="R36" s="71">
        <f t="shared" si="1"/>
        <v>36.702400943359457</v>
      </c>
      <c r="S36" s="78">
        <f t="shared" si="2"/>
        <v>0</v>
      </c>
      <c r="T36" s="65">
        <f t="shared" si="9"/>
        <v>0</v>
      </c>
      <c r="W36" s="59"/>
    </row>
    <row r="37" spans="8:23">
      <c r="H37" s="44"/>
      <c r="I37" s="44"/>
      <c r="J37" s="44"/>
      <c r="K37" s="44"/>
      <c r="L37" s="44"/>
      <c r="M37" s="61"/>
      <c r="N37" s="62"/>
      <c r="O37" s="44"/>
      <c r="P37" s="44"/>
      <c r="Q37" s="44"/>
      <c r="R37" s="44"/>
      <c r="S37" s="60"/>
      <c r="T37" s="65">
        <f>SUM(T4:T36)</f>
        <v>36688.017600146872</v>
      </c>
      <c r="W37" s="59"/>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xr3:uid="{78B4E459-6924-5F8B-B7BA-2DD04133E49E}">
      <selection activeCell="F28" sqref="F28"/>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2" t="s">
        <v>126</v>
      </c>
    </row>
    <row r="4" spans="2:3">
      <c r="B4" s="2" t="s">
        <v>127</v>
      </c>
    </row>
    <row r="5" spans="2:3">
      <c r="B5" s="29" t="s">
        <v>128</v>
      </c>
      <c r="C5" s="29">
        <v>2018</v>
      </c>
    </row>
    <row r="6" spans="2:3">
      <c r="B6" s="29" t="s">
        <v>129</v>
      </c>
      <c r="C6" s="43">
        <v>7.0000000000000007E-2</v>
      </c>
    </row>
    <row r="7" spans="2:3">
      <c r="C7" s="28"/>
    </row>
    <row r="8" spans="2:3">
      <c r="B8" s="2" t="s">
        <v>130</v>
      </c>
      <c r="C8" s="28"/>
    </row>
    <row r="9" spans="2:3">
      <c r="B9" s="29" t="s">
        <v>113</v>
      </c>
      <c r="C9" s="30">
        <f>'Value of Travel Time'!D21</f>
        <v>17.728589999999997</v>
      </c>
    </row>
    <row r="10" spans="2:3">
      <c r="B10" s="44" t="s">
        <v>115</v>
      </c>
      <c r="C10" s="51">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xr3:uid="{9B253EF2-77E0-53E3-AE26-4D66ECD923F3}">
      <selection activeCell="D18" sqref="D18"/>
    </sheetView>
  </sheetViews>
  <sheetFormatPr defaultRowHeight="15"/>
  <cols>
    <col min="2" max="2" width="21.140625" customWidth="1"/>
    <col min="3" max="3" width="22.42578125" bestFit="1" customWidth="1"/>
    <col min="4" max="4" width="23.140625" bestFit="1" customWidth="1"/>
    <col min="7" max="7" width="10.140625" bestFit="1" customWidth="1"/>
  </cols>
  <sheetData>
    <row r="2" spans="2:8">
      <c r="B2" s="3" t="s">
        <v>131</v>
      </c>
    </row>
    <row r="3" spans="2:8">
      <c r="B3" s="3"/>
    </row>
    <row r="4" spans="2:8">
      <c r="B4" t="s">
        <v>132</v>
      </c>
      <c r="C4" t="s">
        <v>133</v>
      </c>
      <c r="D4" s="52">
        <v>3006841</v>
      </c>
      <c r="E4" s="1">
        <f>D4/D$12</f>
        <v>0.12557431780451911</v>
      </c>
      <c r="G4" t="s">
        <v>134</v>
      </c>
      <c r="H4" s="1">
        <f>SUMIF($C$4:$C$11,G4,$E$4:$E$11)</f>
        <v>0.75146889419806362</v>
      </c>
    </row>
    <row r="5" spans="2:8">
      <c r="B5" t="s">
        <v>132</v>
      </c>
      <c r="C5" t="s">
        <v>134</v>
      </c>
      <c r="D5" s="52">
        <v>12248090</v>
      </c>
      <c r="E5" s="1">
        <f t="shared" ref="E5:E12" si="0">D5/D$12</f>
        <v>0.51151542304975628</v>
      </c>
      <c r="G5" t="s">
        <v>133</v>
      </c>
      <c r="H5" s="1">
        <f>SUMIF($C$4:$C$11,G5,$E$4:$E$11)</f>
        <v>0.21391573997984439</v>
      </c>
    </row>
    <row r="6" spans="2:8">
      <c r="B6" t="s">
        <v>135</v>
      </c>
      <c r="C6" t="s">
        <v>133</v>
      </c>
      <c r="D6" s="52">
        <v>2053465</v>
      </c>
      <c r="E6" s="1">
        <f t="shared" si="0"/>
        <v>8.5758597315407373E-2</v>
      </c>
      <c r="G6" t="s">
        <v>136</v>
      </c>
      <c r="H6" s="1">
        <f>SUMIF($C$4:$C$11,G6,$E$4:$E$11)</f>
        <v>3.4615365822091917E-2</v>
      </c>
    </row>
    <row r="7" spans="2:8">
      <c r="B7" t="s">
        <v>135</v>
      </c>
      <c r="C7" t="s">
        <v>134</v>
      </c>
      <c r="D7" s="52">
        <v>5512163</v>
      </c>
      <c r="E7" s="1">
        <f t="shared" si="0"/>
        <v>0.23020376147335739</v>
      </c>
      <c r="H7" s="1">
        <f>SUM(H4:H6)</f>
        <v>0.99999999999999989</v>
      </c>
    </row>
    <row r="8" spans="2:8">
      <c r="B8" t="s">
        <v>137</v>
      </c>
      <c r="C8" t="s">
        <v>136</v>
      </c>
      <c r="D8" s="52">
        <v>108311</v>
      </c>
      <c r="E8" s="1">
        <f t="shared" si="0"/>
        <v>4.5233785011330055E-3</v>
      </c>
    </row>
    <row r="9" spans="2:8">
      <c r="B9" t="s">
        <v>138</v>
      </c>
      <c r="C9" t="s">
        <v>136</v>
      </c>
      <c r="D9" s="52">
        <v>720544</v>
      </c>
      <c r="E9" s="1">
        <f t="shared" si="0"/>
        <v>3.0091987320958909E-2</v>
      </c>
    </row>
    <row r="10" spans="2:8">
      <c r="B10" t="s">
        <v>139</v>
      </c>
      <c r="C10" t="s">
        <v>133</v>
      </c>
      <c r="D10" s="52">
        <v>61845</v>
      </c>
      <c r="E10" s="1">
        <f t="shared" si="0"/>
        <v>2.5828248599179286E-3</v>
      </c>
    </row>
    <row r="11" spans="2:8">
      <c r="B11" t="s">
        <v>140</v>
      </c>
      <c r="C11" t="s">
        <v>134</v>
      </c>
      <c r="D11" s="52">
        <v>233454</v>
      </c>
      <c r="E11" s="1">
        <f t="shared" si="0"/>
        <v>9.7497096749499558E-3</v>
      </c>
    </row>
    <row r="12" spans="2:8">
      <c r="D12" s="53">
        <f>SUM(D4:D11)</f>
        <v>23944713</v>
      </c>
      <c r="E12" s="1">
        <f t="shared" si="0"/>
        <v>1</v>
      </c>
    </row>
    <row r="15" spans="2:8">
      <c r="B15" s="3" t="s">
        <v>141</v>
      </c>
    </row>
    <row r="17" spans="2:4">
      <c r="C17" s="54" t="s">
        <v>142</v>
      </c>
      <c r="D17" s="54" t="s">
        <v>143</v>
      </c>
    </row>
    <row r="18" spans="2:4">
      <c r="B18" s="55" t="s">
        <v>144</v>
      </c>
      <c r="C18" s="56">
        <v>14.2</v>
      </c>
      <c r="D18" s="57">
        <f>C18*(1+'Assumed Values'!$C$10)^(2018-2017)</f>
        <v>14.526599999999998</v>
      </c>
    </row>
    <row r="19" spans="2:4">
      <c r="B19" s="55" t="s">
        <v>145</v>
      </c>
      <c r="C19" s="56">
        <v>26.5</v>
      </c>
      <c r="D19" s="57">
        <f>C19*(1+'Assumed Values'!$C$10)^(2018-2017)</f>
        <v>27.109499999999997</v>
      </c>
    </row>
    <row r="20" spans="2:4">
      <c r="B20" s="55" t="s">
        <v>136</v>
      </c>
      <c r="C20" s="56">
        <v>28.6</v>
      </c>
      <c r="D20" s="57">
        <f>C20*(1+'Assumed Values'!$C$10)^(2018-2017)</f>
        <v>29.2578</v>
      </c>
    </row>
    <row r="21" spans="2:4">
      <c r="B21" s="4" t="s">
        <v>146</v>
      </c>
      <c r="C21" s="5">
        <f>ROUND(SUMPRODUCT(C18:C20,H4:H6),2)</f>
        <v>17.329999999999998</v>
      </c>
      <c r="D21" s="77">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xr3:uid="{85D5C41F-068E-5C55-9968-509E7C2A5619}">
      <selection activeCell="I6" sqref="I6"/>
    </sheetView>
  </sheetViews>
  <sheetFormatPr defaultRowHeight="1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c r="B2" s="134" t="s">
        <v>147</v>
      </c>
      <c r="C2" s="134"/>
      <c r="D2" s="134"/>
      <c r="E2" s="134"/>
      <c r="F2" s="134"/>
      <c r="G2" s="134"/>
      <c r="H2" s="134"/>
      <c r="I2" s="134"/>
    </row>
    <row r="3" spans="2:14">
      <c r="B3" s="135" t="s">
        <v>148</v>
      </c>
      <c r="C3" s="135"/>
    </row>
    <row r="4" spans="2:14" ht="30">
      <c r="B4" s="63" t="s">
        <v>149</v>
      </c>
      <c r="C4" s="63" t="s">
        <v>150</v>
      </c>
      <c r="D4" s="125" t="s">
        <v>151</v>
      </c>
      <c r="E4" s="63" t="s">
        <v>152</v>
      </c>
      <c r="F4" s="63" t="s">
        <v>153</v>
      </c>
      <c r="G4" s="91" t="s">
        <v>154</v>
      </c>
      <c r="H4" s="93"/>
      <c r="L4" s="63" t="s">
        <v>51</v>
      </c>
      <c r="N4" s="63" t="s">
        <v>155</v>
      </c>
    </row>
    <row r="5" spans="2:14">
      <c r="B5" s="74" t="s">
        <v>156</v>
      </c>
      <c r="C5" s="82">
        <v>0.1</v>
      </c>
      <c r="D5" s="75">
        <v>0.1</v>
      </c>
      <c r="E5" s="75">
        <v>7.0000000000000007E-2</v>
      </c>
      <c r="F5" s="75">
        <v>0.2</v>
      </c>
      <c r="G5" s="92">
        <v>0.15</v>
      </c>
      <c r="H5" s="94"/>
      <c r="L5" s="44" t="s">
        <v>157</v>
      </c>
      <c r="N5" s="44" t="s">
        <v>123</v>
      </c>
    </row>
    <row r="6" spans="2:14">
      <c r="B6" s="74" t="s">
        <v>73</v>
      </c>
      <c r="C6" s="82">
        <v>0.3</v>
      </c>
      <c r="D6" s="75">
        <v>0.2</v>
      </c>
      <c r="E6" s="75">
        <v>0.1</v>
      </c>
      <c r="F6" s="75">
        <v>0.3</v>
      </c>
      <c r="G6" s="92">
        <v>0.2</v>
      </c>
      <c r="H6" s="94"/>
      <c r="L6" s="44" t="s">
        <v>158</v>
      </c>
      <c r="N6" s="44" t="s">
        <v>55</v>
      </c>
    </row>
    <row r="7" spans="2:14">
      <c r="B7" s="74" t="s">
        <v>159</v>
      </c>
      <c r="C7" s="82">
        <v>0.3</v>
      </c>
      <c r="D7" s="75">
        <v>0.2</v>
      </c>
      <c r="E7" s="75">
        <v>0.15</v>
      </c>
      <c r="F7" s="75">
        <v>0.3</v>
      </c>
      <c r="G7" s="92">
        <v>0.25</v>
      </c>
      <c r="H7" s="94"/>
      <c r="L7" s="44" t="s">
        <v>160</v>
      </c>
    </row>
    <row r="8" spans="2:14">
      <c r="B8" s="74" t="s">
        <v>161</v>
      </c>
      <c r="C8" s="82">
        <v>0.2</v>
      </c>
      <c r="D8" s="75">
        <v>0.02</v>
      </c>
      <c r="E8" s="75">
        <v>0.02</v>
      </c>
      <c r="F8" s="75">
        <v>0.2</v>
      </c>
      <c r="G8" s="92">
        <v>0.15</v>
      </c>
      <c r="H8" s="94"/>
      <c r="L8" s="44" t="s">
        <v>162</v>
      </c>
    </row>
    <row r="9" spans="2:14">
      <c r="B9" s="74" t="s">
        <v>163</v>
      </c>
      <c r="C9" s="82">
        <v>0.2</v>
      </c>
      <c r="D9" s="75">
        <v>0.02</v>
      </c>
      <c r="E9" s="75">
        <v>0.02</v>
      </c>
      <c r="F9" s="75">
        <v>0.2</v>
      </c>
      <c r="G9" s="92">
        <v>0.15</v>
      </c>
      <c r="H9" s="94"/>
      <c r="L9" s="44" t="s">
        <v>52</v>
      </c>
    </row>
    <row r="10" spans="2:14">
      <c r="B10" s="74" t="s">
        <v>164</v>
      </c>
      <c r="C10" s="82">
        <v>0.3</v>
      </c>
      <c r="D10" s="75">
        <v>0.1</v>
      </c>
      <c r="E10" s="75">
        <v>0.1</v>
      </c>
      <c r="F10" s="75">
        <v>0.3</v>
      </c>
      <c r="G10" s="92">
        <v>0.22</v>
      </c>
      <c r="H10" s="94"/>
      <c r="L10" s="44" t="s">
        <v>165</v>
      </c>
    </row>
    <row r="11" spans="2:14">
      <c r="B11" s="74" t="s">
        <v>166</v>
      </c>
      <c r="C11" s="82">
        <v>0.4</v>
      </c>
      <c r="D11" s="75">
        <v>0.2</v>
      </c>
      <c r="E11" s="75">
        <v>0.12</v>
      </c>
      <c r="F11" s="75">
        <v>0.4</v>
      </c>
      <c r="G11" s="92">
        <v>0.3</v>
      </c>
      <c r="H11" s="94"/>
      <c r="L11" s="44" t="s">
        <v>167</v>
      </c>
    </row>
    <row r="12" spans="2:14">
      <c r="B12" s="74" t="s">
        <v>168</v>
      </c>
      <c r="C12" s="82">
        <v>0.2</v>
      </c>
      <c r="D12" s="75">
        <v>0.2</v>
      </c>
      <c r="E12" s="75">
        <v>0.12</v>
      </c>
      <c r="F12" s="75">
        <v>0.4</v>
      </c>
      <c r="G12" s="92">
        <v>0.3</v>
      </c>
      <c r="H12" s="94"/>
      <c r="L12" s="44" t="s">
        <v>169</v>
      </c>
    </row>
    <row r="13" spans="2:14">
      <c r="B13" s="74" t="s">
        <v>170</v>
      </c>
      <c r="C13" s="82">
        <v>0.2</v>
      </c>
      <c r="D13" s="75">
        <v>0.02</v>
      </c>
      <c r="E13" s="75">
        <v>0.02</v>
      </c>
      <c r="F13" s="75">
        <v>0.2</v>
      </c>
      <c r="G13" s="92">
        <v>0.1</v>
      </c>
      <c r="H13" s="94"/>
    </row>
    <row r="14" spans="2:14">
      <c r="B14" s="74" t="s">
        <v>171</v>
      </c>
      <c r="C14" s="82">
        <v>0.2</v>
      </c>
      <c r="D14" s="75">
        <v>0.1</v>
      </c>
      <c r="E14" s="75">
        <v>0.05</v>
      </c>
      <c r="F14" s="75">
        <v>0.2</v>
      </c>
      <c r="G14" s="75">
        <v>0.1</v>
      </c>
    </row>
    <row r="15" spans="2:14">
      <c r="B15" s="74" t="s">
        <v>172</v>
      </c>
      <c r="C15" s="82">
        <v>0.04</v>
      </c>
      <c r="D15" s="75">
        <v>0.01</v>
      </c>
      <c r="E15" s="75">
        <v>0.01</v>
      </c>
      <c r="F15" s="75">
        <v>0.04</v>
      </c>
      <c r="G15" s="75">
        <v>0.02</v>
      </c>
    </row>
    <row r="16" spans="2:14">
      <c r="B16" s="74" t="s">
        <v>173</v>
      </c>
      <c r="C16" s="82">
        <v>0.01</v>
      </c>
      <c r="D16" s="75">
        <v>0.01</v>
      </c>
      <c r="E16" s="75">
        <v>5.0000000000000001E-3</v>
      </c>
      <c r="F16" s="75">
        <v>0.01</v>
      </c>
      <c r="G16" s="75">
        <v>5.0000000000000001E-3</v>
      </c>
    </row>
    <row r="17" spans="2:7">
      <c r="B17" s="74" t="s">
        <v>174</v>
      </c>
      <c r="C17" s="82">
        <v>0.04</v>
      </c>
      <c r="D17" s="75">
        <v>0.02</v>
      </c>
      <c r="E17" s="75">
        <v>0.01</v>
      </c>
      <c r="F17" s="75">
        <v>0.04</v>
      </c>
      <c r="G17" s="75">
        <v>0.02</v>
      </c>
    </row>
    <row r="18" spans="2:7">
      <c r="B18" s="74" t="s">
        <v>175</v>
      </c>
      <c r="C18" s="82">
        <v>0.04</v>
      </c>
      <c r="D18" s="75">
        <v>0.02</v>
      </c>
      <c r="E18" s="75">
        <v>0.01</v>
      </c>
      <c r="F18" s="75">
        <v>0.04</v>
      </c>
      <c r="G18" s="75">
        <v>0.02</v>
      </c>
    </row>
    <row r="19" spans="2:7">
      <c r="B19" s="74" t="s">
        <v>176</v>
      </c>
      <c r="C19" s="82">
        <v>0.05</v>
      </c>
      <c r="D19" s="75">
        <v>0.05</v>
      </c>
      <c r="E19" s="75">
        <v>0.02</v>
      </c>
      <c r="F19" s="75">
        <v>0.01</v>
      </c>
      <c r="G19" s="75">
        <v>5.0000000000000001E-3</v>
      </c>
    </row>
    <row r="20" spans="2:7">
      <c r="B20" s="74" t="s">
        <v>177</v>
      </c>
      <c r="C20" s="82">
        <v>0.01</v>
      </c>
      <c r="D20" s="75">
        <v>0.01</v>
      </c>
      <c r="E20" s="75">
        <v>5.0000000000000001E-3</v>
      </c>
      <c r="F20" s="75">
        <v>0.01</v>
      </c>
      <c r="G20" s="75">
        <v>5.0000000000000001E-3</v>
      </c>
    </row>
    <row r="21" spans="2:7">
      <c r="B21" s="74" t="s">
        <v>178</v>
      </c>
      <c r="C21" s="82">
        <v>0.25</v>
      </c>
      <c r="D21" s="75">
        <v>0.1</v>
      </c>
      <c r="E21" s="75">
        <v>0.1</v>
      </c>
      <c r="F21" s="75">
        <v>0.25</v>
      </c>
      <c r="G21" s="75">
        <v>0.15</v>
      </c>
    </row>
    <row r="22" spans="2:7">
      <c r="B22" s="74" t="s">
        <v>179</v>
      </c>
      <c r="C22" s="82">
        <v>0.1</v>
      </c>
      <c r="D22" s="75">
        <v>0.1</v>
      </c>
      <c r="E22" s="75">
        <v>0.1</v>
      </c>
      <c r="F22" s="75">
        <v>0.15</v>
      </c>
      <c r="G22" s="75">
        <v>0.15</v>
      </c>
    </row>
    <row r="23" spans="2:7">
      <c r="B23" s="74" t="s">
        <v>180</v>
      </c>
      <c r="C23" s="82">
        <v>0.1</v>
      </c>
      <c r="D23" s="75">
        <v>0.05</v>
      </c>
      <c r="E23" s="75">
        <v>0.03</v>
      </c>
      <c r="F23" s="75">
        <v>0.1</v>
      </c>
      <c r="G23" s="75">
        <v>0.1</v>
      </c>
    </row>
    <row r="24" spans="2:7">
      <c r="B24" s="74" t="s">
        <v>181</v>
      </c>
      <c r="C24" s="82">
        <v>0.06</v>
      </c>
      <c r="D24" s="75">
        <v>0.03</v>
      </c>
      <c r="E24" s="75">
        <v>0.01</v>
      </c>
      <c r="F24" s="75">
        <v>0.06</v>
      </c>
      <c r="G24" s="75">
        <v>0.04</v>
      </c>
    </row>
    <row r="25" spans="2:7">
      <c r="B25" s="74" t="s">
        <v>182</v>
      </c>
      <c r="C25" s="82">
        <v>0.2</v>
      </c>
      <c r="D25" s="75">
        <v>0.1</v>
      </c>
      <c r="E25" s="75">
        <v>0.05</v>
      </c>
      <c r="F25" s="75">
        <v>0.2</v>
      </c>
      <c r="G25" s="75">
        <v>0.1</v>
      </c>
    </row>
    <row r="26" spans="2:7">
      <c r="B26" s="74" t="s">
        <v>183</v>
      </c>
      <c r="C26" s="82">
        <v>0.25</v>
      </c>
      <c r="D26" s="75">
        <v>0.1</v>
      </c>
      <c r="E26" s="75">
        <v>0.1</v>
      </c>
      <c r="F26" s="75">
        <v>0.25</v>
      </c>
      <c r="G26" s="75">
        <v>0.2</v>
      </c>
    </row>
    <row r="27" spans="2:7">
      <c r="B27" s="74" t="s">
        <v>184</v>
      </c>
      <c r="C27" s="82">
        <v>0.15</v>
      </c>
      <c r="D27" s="75">
        <v>0.1</v>
      </c>
      <c r="E27" s="75">
        <v>0.05</v>
      </c>
      <c r="F27" s="75">
        <v>0.15</v>
      </c>
      <c r="G27" s="75">
        <v>0.1</v>
      </c>
    </row>
    <row r="28" spans="2:7">
      <c r="B28" s="74" t="s">
        <v>185</v>
      </c>
      <c r="C28" s="82">
        <v>0.1</v>
      </c>
      <c r="D28" s="75">
        <v>0.05</v>
      </c>
      <c r="E28" s="75">
        <v>0.02</v>
      </c>
      <c r="F28" s="75">
        <v>0.1</v>
      </c>
      <c r="G28" s="75">
        <v>0.05</v>
      </c>
    </row>
    <row r="29" spans="2:7">
      <c r="B29" s="74" t="s">
        <v>186</v>
      </c>
      <c r="C29" s="82">
        <v>0.02</v>
      </c>
      <c r="D29" s="75">
        <v>0.02</v>
      </c>
      <c r="E29" s="75">
        <v>0.01</v>
      </c>
      <c r="F29" s="75">
        <v>0.02</v>
      </c>
      <c r="G29" s="75">
        <v>0.01</v>
      </c>
    </row>
    <row r="30" spans="2:7">
      <c r="B30" s="74" t="s">
        <v>187</v>
      </c>
      <c r="C30" s="82">
        <v>0.1</v>
      </c>
      <c r="D30" s="75">
        <v>0.05</v>
      </c>
      <c r="E30" s="75">
        <v>0.02</v>
      </c>
      <c r="F30" s="75">
        <v>0.1</v>
      </c>
      <c r="G30" s="75">
        <v>0.04</v>
      </c>
    </row>
    <row r="31" spans="2:7">
      <c r="B31" s="74" t="s">
        <v>188</v>
      </c>
      <c r="C31" s="82">
        <v>0.04</v>
      </c>
      <c r="D31" s="75">
        <v>0.02</v>
      </c>
      <c r="E31" s="75">
        <v>0.01</v>
      </c>
      <c r="F31" s="75">
        <v>0.04</v>
      </c>
      <c r="G31" s="75">
        <v>0.02</v>
      </c>
    </row>
    <row r="32" spans="2:7">
      <c r="B32" s="74" t="s">
        <v>189</v>
      </c>
      <c r="C32" s="82">
        <v>0.1</v>
      </c>
      <c r="D32" s="75">
        <v>0.02</v>
      </c>
      <c r="E32" s="75">
        <v>0.01</v>
      </c>
      <c r="F32" s="75">
        <v>0.1</v>
      </c>
      <c r="G32" s="75">
        <v>0.05</v>
      </c>
    </row>
    <row r="33" spans="2:7">
      <c r="B33" s="74" t="s">
        <v>190</v>
      </c>
      <c r="C33" s="82">
        <v>0.1</v>
      </c>
      <c r="D33" s="75">
        <v>0.04</v>
      </c>
      <c r="E33" s="75">
        <v>0.02</v>
      </c>
      <c r="F33" s="75">
        <v>0.1</v>
      </c>
      <c r="G33" s="75">
        <v>0.05</v>
      </c>
    </row>
    <row r="34" spans="2:7">
      <c r="B34" s="74" t="s">
        <v>191</v>
      </c>
      <c r="C34" s="82">
        <v>0.1</v>
      </c>
      <c r="D34" s="75">
        <v>0.02</v>
      </c>
      <c r="E34" s="75">
        <v>0.02</v>
      </c>
      <c r="F34" s="75">
        <v>0.1</v>
      </c>
      <c r="G34" s="75">
        <v>0.05</v>
      </c>
    </row>
    <row r="35" spans="2:7">
      <c r="B35" s="74" t="s">
        <v>192</v>
      </c>
      <c r="C35" s="82">
        <v>0.1</v>
      </c>
      <c r="D35" s="75">
        <v>0.02</v>
      </c>
      <c r="E35" s="75">
        <v>0.02</v>
      </c>
      <c r="F35" s="75">
        <v>0.1</v>
      </c>
      <c r="G35" s="75">
        <v>0.05</v>
      </c>
    </row>
    <row r="36" spans="2:7">
      <c r="B36" s="74" t="s">
        <v>193</v>
      </c>
      <c r="C36" s="82">
        <v>0.1</v>
      </c>
      <c r="D36" s="75">
        <v>0.04</v>
      </c>
      <c r="E36" s="75">
        <v>0.02</v>
      </c>
      <c r="F36" s="75">
        <v>0.1</v>
      </c>
      <c r="G36" s="75">
        <v>0.05</v>
      </c>
    </row>
    <row r="37" spans="2:7">
      <c r="B37" s="74" t="s">
        <v>194</v>
      </c>
      <c r="C37" s="82">
        <v>0.25</v>
      </c>
      <c r="D37" s="75">
        <v>0.1</v>
      </c>
      <c r="E37" s="75">
        <v>0.15</v>
      </c>
      <c r="F37" s="75">
        <v>0.3</v>
      </c>
      <c r="G37" s="75">
        <v>0.25</v>
      </c>
    </row>
    <row r="38" spans="2:7">
      <c r="B38" s="74" t="s">
        <v>195</v>
      </c>
      <c r="C38" s="82">
        <v>0.3</v>
      </c>
      <c r="D38" s="75">
        <v>0.1</v>
      </c>
      <c r="E38" s="75">
        <v>0.1</v>
      </c>
      <c r="F38" s="75">
        <v>0.3</v>
      </c>
      <c r="G38" s="75">
        <v>0.2</v>
      </c>
    </row>
    <row r="39" spans="2:7">
      <c r="B39" s="74" t="s">
        <v>196</v>
      </c>
      <c r="C39" s="82">
        <v>0.3</v>
      </c>
      <c r="D39" s="75">
        <v>0.2</v>
      </c>
      <c r="E39" s="75">
        <v>0.17</v>
      </c>
      <c r="F39" s="75">
        <v>0.3</v>
      </c>
      <c r="G39" s="75">
        <v>0.25</v>
      </c>
    </row>
    <row r="40" spans="2:7">
      <c r="B40" s="74" t="s">
        <v>197</v>
      </c>
      <c r="C40" s="82">
        <v>0.3</v>
      </c>
      <c r="D40" s="75">
        <v>0.2</v>
      </c>
      <c r="E40" s="75">
        <v>0.17</v>
      </c>
      <c r="F40" s="75">
        <v>0.3</v>
      </c>
      <c r="G40" s="75">
        <v>0.25</v>
      </c>
    </row>
    <row r="41" spans="2:7">
      <c r="B41" s="74" t="s">
        <v>198</v>
      </c>
      <c r="C41" s="82">
        <v>0.3</v>
      </c>
      <c r="D41" s="75">
        <v>0.15</v>
      </c>
      <c r="E41" s="75">
        <v>0.15</v>
      </c>
      <c r="F41" s="75">
        <v>0.3</v>
      </c>
      <c r="G41" s="75">
        <v>0.3</v>
      </c>
    </row>
    <row r="42" spans="2:7">
      <c r="B42" s="74" t="s">
        <v>199</v>
      </c>
      <c r="C42" s="82">
        <v>0.3</v>
      </c>
      <c r="D42" s="75">
        <v>0.1</v>
      </c>
      <c r="E42" s="75">
        <v>0.15</v>
      </c>
      <c r="F42" s="75">
        <v>0.3</v>
      </c>
      <c r="G42" s="75">
        <v>0.2</v>
      </c>
    </row>
    <row r="43" spans="2:7">
      <c r="B43" s="74" t="s">
        <v>200</v>
      </c>
      <c r="C43" s="82">
        <v>0.2</v>
      </c>
      <c r="D43" s="75">
        <v>0.1</v>
      </c>
      <c r="E43" s="75">
        <v>0.1</v>
      </c>
      <c r="F43" s="75">
        <v>0.2</v>
      </c>
      <c r="G43" s="75">
        <v>0.2</v>
      </c>
    </row>
    <row r="44" spans="2:7">
      <c r="B44" s="74" t="s">
        <v>201</v>
      </c>
      <c r="C44" s="82">
        <v>0.3</v>
      </c>
      <c r="D44" s="75">
        <v>0.2</v>
      </c>
      <c r="E44" s="75">
        <v>0.1</v>
      </c>
      <c r="F44" s="75">
        <v>0.3</v>
      </c>
      <c r="G44" s="75">
        <v>0.2</v>
      </c>
    </row>
    <row r="45" spans="2:7">
      <c r="B45" s="74" t="s">
        <v>202</v>
      </c>
      <c r="C45" s="82">
        <v>0.05</v>
      </c>
      <c r="D45" s="75">
        <v>0.02</v>
      </c>
      <c r="E45" s="75">
        <v>0.01</v>
      </c>
      <c r="F45" s="75">
        <v>0.05</v>
      </c>
      <c r="G45" s="75">
        <v>0.05</v>
      </c>
    </row>
    <row r="46" spans="2:7">
      <c r="B46" s="74" t="s">
        <v>203</v>
      </c>
      <c r="C46" s="82">
        <v>0.05</v>
      </c>
      <c r="D46" s="75">
        <v>0.02</v>
      </c>
      <c r="E46" s="75">
        <v>0.01</v>
      </c>
      <c r="F46" s="75">
        <v>0.05</v>
      </c>
      <c r="G46" s="75">
        <v>0.05</v>
      </c>
    </row>
    <row r="47" spans="2:7">
      <c r="B47" s="74" t="s">
        <v>204</v>
      </c>
      <c r="C47" s="82">
        <v>0.1</v>
      </c>
      <c r="D47" s="75">
        <v>0.04</v>
      </c>
      <c r="E47" s="75">
        <v>0.02</v>
      </c>
      <c r="F47" s="75">
        <v>0.1</v>
      </c>
      <c r="G47" s="75">
        <v>0.05</v>
      </c>
    </row>
    <row r="48" spans="2:7">
      <c r="B48" s="74" t="s">
        <v>205</v>
      </c>
      <c r="C48" s="82">
        <v>0.1</v>
      </c>
      <c r="D48" s="75">
        <v>0.03</v>
      </c>
      <c r="E48" s="75">
        <v>0.01</v>
      </c>
      <c r="F48" s="75">
        <v>0.1</v>
      </c>
      <c r="G48" s="75">
        <v>0.05</v>
      </c>
    </row>
    <row r="49" spans="2:7">
      <c r="B49" s="74" t="s">
        <v>206</v>
      </c>
      <c r="C49" s="82">
        <v>0.2</v>
      </c>
      <c r="D49" s="75">
        <v>0.1</v>
      </c>
      <c r="E49" s="75">
        <v>7.0000000000000007E-2</v>
      </c>
      <c r="F49" s="75">
        <v>0.2</v>
      </c>
      <c r="G49" s="75">
        <v>0.2</v>
      </c>
    </row>
    <row r="50" spans="2:7">
      <c r="B50" s="74" t="s">
        <v>207</v>
      </c>
      <c r="C50" s="82">
        <v>0.3</v>
      </c>
      <c r="D50" s="75">
        <v>0.15</v>
      </c>
      <c r="E50" s="75">
        <v>0.08</v>
      </c>
      <c r="F50" s="75">
        <v>0.3</v>
      </c>
      <c r="G50" s="75">
        <v>0.15</v>
      </c>
    </row>
    <row r="51" spans="2:7">
      <c r="B51" s="76" t="s">
        <v>208</v>
      </c>
      <c r="C51" s="82">
        <v>0.15</v>
      </c>
      <c r="D51" s="75">
        <v>0.05</v>
      </c>
      <c r="E51" s="75">
        <v>0.05</v>
      </c>
      <c r="F51" s="75">
        <v>0.15</v>
      </c>
      <c r="G51" s="75">
        <v>0.1</v>
      </c>
    </row>
    <row r="52" spans="2:7">
      <c r="B52" s="74" t="s">
        <v>209</v>
      </c>
      <c r="C52" s="82">
        <v>0.1</v>
      </c>
      <c r="D52" s="75">
        <v>0.05</v>
      </c>
      <c r="E52" s="75">
        <v>0.05</v>
      </c>
      <c r="F52" s="75">
        <v>0.1</v>
      </c>
      <c r="G52" s="75">
        <v>0.1</v>
      </c>
    </row>
    <row r="53" spans="2:7">
      <c r="B53" s="74" t="s">
        <v>210</v>
      </c>
      <c r="C53" s="82">
        <v>0.75</v>
      </c>
      <c r="D53" s="75">
        <v>0.4</v>
      </c>
      <c r="E53" s="75">
        <v>0.25</v>
      </c>
      <c r="F53" s="75">
        <v>0.75</v>
      </c>
      <c r="G53" s="75">
        <v>0.4</v>
      </c>
    </row>
    <row r="54" spans="2:7">
      <c r="B54" s="74" t="s">
        <v>211</v>
      </c>
      <c r="C54" s="82">
        <v>0.3</v>
      </c>
      <c r="D54" s="75">
        <v>0.2</v>
      </c>
      <c r="E54" s="75">
        <v>0.1</v>
      </c>
      <c r="F54" s="75">
        <v>0.3</v>
      </c>
      <c r="G54" s="75">
        <v>0.2</v>
      </c>
    </row>
    <row r="55" spans="2:7">
      <c r="B55" s="74" t="s">
        <v>212</v>
      </c>
      <c r="C55" s="82">
        <v>0.25</v>
      </c>
      <c r="D55" s="75">
        <v>0.1</v>
      </c>
      <c r="E55" s="75">
        <v>0.1</v>
      </c>
      <c r="F55" s="75">
        <v>0.25</v>
      </c>
      <c r="G55" s="75">
        <v>0.2</v>
      </c>
    </row>
    <row r="56" spans="2:7">
      <c r="B56" s="74" t="s">
        <v>213</v>
      </c>
      <c r="C56" s="82">
        <v>0.15</v>
      </c>
      <c r="D56" s="75">
        <v>0.1</v>
      </c>
      <c r="E56" s="75">
        <v>0.1</v>
      </c>
      <c r="F56" s="75">
        <v>0.15</v>
      </c>
      <c r="G56" s="75">
        <v>0.15</v>
      </c>
    </row>
    <row r="57" spans="2:7">
      <c r="B57" s="74" t="s">
        <v>214</v>
      </c>
      <c r="C57" s="82">
        <v>0.3</v>
      </c>
      <c r="D57" s="75">
        <v>0.15</v>
      </c>
      <c r="E57" s="75">
        <v>0.15</v>
      </c>
      <c r="F57" s="75">
        <v>0.3</v>
      </c>
      <c r="G57" s="75">
        <v>0.2</v>
      </c>
    </row>
    <row r="58" spans="2:7">
      <c r="B58" s="74" t="s">
        <v>215</v>
      </c>
      <c r="C58" s="82">
        <v>0.1</v>
      </c>
      <c r="D58" s="75">
        <v>0.05</v>
      </c>
      <c r="E58" s="75">
        <v>0.02</v>
      </c>
      <c r="F58" s="75">
        <v>0.1</v>
      </c>
      <c r="G58" s="75">
        <v>0.05</v>
      </c>
    </row>
    <row r="59" spans="2:7">
      <c r="B59" s="74" t="s">
        <v>216</v>
      </c>
      <c r="C59" s="82">
        <v>0.02</v>
      </c>
      <c r="D59" s="75">
        <v>0.02</v>
      </c>
      <c r="E59" s="75">
        <v>0.01</v>
      </c>
      <c r="F59" s="75">
        <v>0.03</v>
      </c>
      <c r="G59" s="75">
        <v>0.03</v>
      </c>
    </row>
    <row r="60" spans="2:7">
      <c r="B60" s="74" t="s">
        <v>217</v>
      </c>
      <c r="C60" s="82">
        <v>0.2</v>
      </c>
      <c r="D60" s="75">
        <v>0.1</v>
      </c>
      <c r="E60" s="75">
        <v>0.05</v>
      </c>
      <c r="F60" s="75">
        <v>0.2</v>
      </c>
      <c r="G60" s="75">
        <v>0.1</v>
      </c>
    </row>
    <row r="61" spans="2:7">
      <c r="B61" s="74" t="s">
        <v>218</v>
      </c>
      <c r="C61" s="82">
        <v>0.2</v>
      </c>
      <c r="D61" s="75">
        <v>0.1</v>
      </c>
      <c r="E61" s="75">
        <v>0.05</v>
      </c>
      <c r="F61" s="75">
        <v>0.2</v>
      </c>
      <c r="G61" s="75">
        <v>0.1</v>
      </c>
    </row>
    <row r="62" spans="2:7">
      <c r="B62" s="74" t="s">
        <v>219</v>
      </c>
      <c r="C62" s="82">
        <v>0.08</v>
      </c>
      <c r="D62" s="75">
        <v>0.04</v>
      </c>
      <c r="E62" s="75">
        <v>0.02</v>
      </c>
      <c r="F62" s="75">
        <v>0.08</v>
      </c>
      <c r="G62" s="75">
        <v>0.03</v>
      </c>
    </row>
    <row r="63" spans="2:7">
      <c r="B63" s="74" t="s">
        <v>220</v>
      </c>
      <c r="C63" s="82">
        <v>0.08</v>
      </c>
      <c r="D63" s="75">
        <v>0.04</v>
      </c>
      <c r="E63" s="75">
        <v>0.02</v>
      </c>
      <c r="F63" s="75">
        <v>0.08</v>
      </c>
      <c r="G63" s="75">
        <v>0.03</v>
      </c>
    </row>
    <row r="64" spans="2:7">
      <c r="B64" s="74" t="s">
        <v>221</v>
      </c>
      <c r="C64" s="82">
        <v>0.01</v>
      </c>
      <c r="D64" s="75">
        <v>0.01</v>
      </c>
      <c r="E64" s="75">
        <v>0.01</v>
      </c>
      <c r="F64" s="75">
        <v>0.01</v>
      </c>
      <c r="G64" s="75">
        <v>0.01</v>
      </c>
    </row>
    <row r="65" spans="2:7">
      <c r="B65" s="74" t="s">
        <v>222</v>
      </c>
      <c r="C65" s="82">
        <v>0.01</v>
      </c>
      <c r="D65" s="75">
        <v>0.01</v>
      </c>
      <c r="E65" s="75">
        <v>0.01</v>
      </c>
      <c r="F65" s="75">
        <v>0.01</v>
      </c>
      <c r="G65" s="75">
        <v>0.01</v>
      </c>
    </row>
    <row r="66" spans="2:7">
      <c r="B66" s="74" t="s">
        <v>223</v>
      </c>
      <c r="C66" s="82">
        <v>0.01</v>
      </c>
      <c r="D66" s="75">
        <v>0.01</v>
      </c>
      <c r="E66" s="75">
        <v>5.0000000000000001E-3</v>
      </c>
      <c r="F66" s="75">
        <v>0.01</v>
      </c>
      <c r="G66" s="75">
        <v>5.0000000000000001E-3</v>
      </c>
    </row>
    <row r="67" spans="2:7">
      <c r="B67" s="74" t="s">
        <v>224</v>
      </c>
      <c r="C67" s="82">
        <v>0.01</v>
      </c>
      <c r="D67" s="75">
        <v>0.01</v>
      </c>
      <c r="E67" s="75">
        <v>5.0000000000000001E-3</v>
      </c>
      <c r="F67" s="75">
        <v>0.01</v>
      </c>
      <c r="G67" s="75">
        <v>5.0000000000000001E-3</v>
      </c>
    </row>
    <row r="68" spans="2:7">
      <c r="B68" s="74" t="s">
        <v>225</v>
      </c>
      <c r="C68" s="82">
        <v>0.04</v>
      </c>
      <c r="D68" s="75">
        <v>0.02</v>
      </c>
      <c r="E68" s="75">
        <v>0.01</v>
      </c>
      <c r="F68" s="75">
        <v>0.04</v>
      </c>
      <c r="G68" s="75">
        <v>0.02</v>
      </c>
    </row>
    <row r="69" spans="2:7">
      <c r="B69" s="74" t="s">
        <v>226</v>
      </c>
      <c r="C69" s="82">
        <v>0.02</v>
      </c>
      <c r="D69" s="75">
        <v>0.02</v>
      </c>
      <c r="E69" s="75">
        <v>0.01</v>
      </c>
      <c r="F69" s="75">
        <v>0.02</v>
      </c>
      <c r="G69" s="75">
        <v>0.01</v>
      </c>
    </row>
    <row r="70" spans="2:7">
      <c r="B70" s="74" t="s">
        <v>227</v>
      </c>
      <c r="C70" s="82">
        <v>0.08</v>
      </c>
      <c r="D70" s="75">
        <v>0.05</v>
      </c>
      <c r="E70" s="75">
        <v>0.02</v>
      </c>
      <c r="F70" s="75">
        <v>0.08</v>
      </c>
      <c r="G70" s="75">
        <v>0.03</v>
      </c>
    </row>
    <row r="71" spans="2:7">
      <c r="B71" s="74" t="s">
        <v>228</v>
      </c>
      <c r="C71" s="82">
        <v>0.05</v>
      </c>
      <c r="D71" s="75">
        <v>0.03</v>
      </c>
      <c r="E71" s="75">
        <v>0.02</v>
      </c>
      <c r="F71" s="75">
        <v>0.05</v>
      </c>
      <c r="G71" s="75">
        <v>0.03</v>
      </c>
    </row>
    <row r="72" spans="2:7">
      <c r="B72" s="74" t="s">
        <v>229</v>
      </c>
      <c r="C72" s="82">
        <v>0.08</v>
      </c>
      <c r="D72" s="75">
        <v>0.04</v>
      </c>
      <c r="E72" s="75">
        <v>0.02</v>
      </c>
      <c r="F72" s="75">
        <v>0.08</v>
      </c>
      <c r="G72" s="75">
        <v>0.03</v>
      </c>
    </row>
    <row r="73" spans="2:7">
      <c r="B73" s="74" t="s">
        <v>230</v>
      </c>
      <c r="C73" s="82">
        <v>0.05</v>
      </c>
      <c r="D73" s="75">
        <v>0.02</v>
      </c>
      <c r="E73" s="75">
        <v>0.01</v>
      </c>
      <c r="F73" s="75">
        <v>0.05</v>
      </c>
      <c r="G73" s="75">
        <v>0.03</v>
      </c>
    </row>
    <row r="74" spans="2:7">
      <c r="B74" s="74" t="s">
        <v>231</v>
      </c>
      <c r="C74" s="82">
        <v>0.05</v>
      </c>
      <c r="D74" s="75">
        <v>0.02</v>
      </c>
      <c r="E74" s="75">
        <v>0.01</v>
      </c>
      <c r="F74" s="75">
        <v>0.05</v>
      </c>
      <c r="G74" s="75">
        <v>0.03</v>
      </c>
    </row>
    <row r="75" spans="2:7">
      <c r="B75" s="74" t="s">
        <v>232</v>
      </c>
      <c r="C75" s="82">
        <v>0.15</v>
      </c>
      <c r="D75" s="75">
        <v>0.08</v>
      </c>
      <c r="E75" s="75">
        <v>0.04</v>
      </c>
      <c r="F75" s="75">
        <v>0.15</v>
      </c>
      <c r="G75" s="75">
        <v>0.1</v>
      </c>
    </row>
    <row r="76" spans="2:7">
      <c r="B76" s="74" t="s">
        <v>233</v>
      </c>
      <c r="C76" s="82">
        <v>0.15</v>
      </c>
      <c r="D76" s="75">
        <v>0.08</v>
      </c>
      <c r="E76" s="75">
        <v>0.04</v>
      </c>
      <c r="F76" s="75">
        <v>0.15</v>
      </c>
      <c r="G76" s="75">
        <v>0.1</v>
      </c>
    </row>
    <row r="77" spans="2:7">
      <c r="B77" s="74" t="s">
        <v>234</v>
      </c>
      <c r="C77" s="82">
        <v>0.15</v>
      </c>
      <c r="D77" s="75">
        <v>0.08</v>
      </c>
      <c r="E77" s="75">
        <v>0.04</v>
      </c>
      <c r="F77" s="75">
        <v>0.15</v>
      </c>
      <c r="G77" s="75">
        <v>0.08</v>
      </c>
    </row>
    <row r="78" spans="2:7">
      <c r="B78" s="74" t="s">
        <v>235</v>
      </c>
      <c r="C78" s="82">
        <v>0.05</v>
      </c>
      <c r="D78" s="75">
        <v>0.04</v>
      </c>
      <c r="E78" s="75">
        <v>0.02</v>
      </c>
      <c r="F78" s="75">
        <v>0.05</v>
      </c>
      <c r="G78" s="75">
        <v>0.03</v>
      </c>
    </row>
    <row r="79" spans="2:7">
      <c r="B79" s="74" t="s">
        <v>236</v>
      </c>
      <c r="C79" s="82">
        <v>0.05</v>
      </c>
      <c r="D79" s="75">
        <v>0.04</v>
      </c>
      <c r="E79" s="75">
        <v>0.02</v>
      </c>
      <c r="F79" s="75">
        <v>0.05</v>
      </c>
      <c r="G79" s="75">
        <v>0.03</v>
      </c>
    </row>
    <row r="80" spans="2:7">
      <c r="B80" s="74" t="s">
        <v>237</v>
      </c>
      <c r="C80" s="82">
        <v>0.05</v>
      </c>
      <c r="D80" s="75">
        <v>0.04</v>
      </c>
      <c r="E80" s="75">
        <v>0.02</v>
      </c>
      <c r="F80" s="75">
        <v>0.05</v>
      </c>
      <c r="G80" s="75">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C8A8D1-6553-41ED-A22C-20AAC43BB857}"/>
</file>

<file path=customXml/itemProps2.xml><?xml version="1.0" encoding="utf-8"?>
<ds:datastoreItem xmlns:ds="http://schemas.openxmlformats.org/officeDocument/2006/customXml" ds:itemID="{058590AA-62A0-4968-A78B-6D787150682A}"/>
</file>

<file path=customXml/itemProps3.xml><?xml version="1.0" encoding="utf-8"?>
<ds:datastoreItem xmlns:ds="http://schemas.openxmlformats.org/officeDocument/2006/customXml" ds:itemID="{A6640E85-5EB4-4097-949F-B5ACD02657E5}"/>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2018-10-26T17:27:51Z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