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1_HW_US90/"/>
    </mc:Choice>
  </mc:AlternateContent>
  <xr:revisionPtr revIDLastSave="32" documentId="8_{D09BA612-B532-4A88-9512-50F123E90F61}" xr6:coauthVersionLast="40" xr6:coauthVersionMax="40" xr10:uidLastSave="{59D6AFAC-D817-4BD6-9569-62CDC46778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B17" i="7"/>
  <c r="B16" i="7"/>
  <c r="E17" i="7"/>
  <c r="G5" i="7"/>
  <c r="H5"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<sst xmlns="http://schemas.openxmlformats.org/spreadsheetml/2006/main" count="292" uniqueCount="238">
  <si>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</si>
  <si>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</si>
  <si>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</si>
  <si>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</si>
  <si>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</si>
  <si>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</si>
  <si>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</si>
  <si>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</si>
  <si>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</si>
  <si>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</si>
  <si>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</si>
  <si>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</si>
  <si>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</si>
  <si>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</si>
  <si>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</si>
  <si>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</si>
  <si>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</si>
  <si>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</si>
  <si>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</si>
  <si>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</si>
  <si>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</si>
  <si>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</si>
  <si>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</si>
  <si>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</si>
  <si>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</si>
  <si>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</si>
  <si>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</si>
  <si>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</si>
  <si>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</si>
  <si>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</si>
  <si>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</si>
  <si>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</si>
  <si>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</si>
  <si>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</si>
  <si>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</si>
  <si>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</si>
  <si>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</si>
  <si>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</si>
  <si>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</si>
  <si>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</si>
  <si>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</si>
  <si>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</si>
  <si>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</si>
  <si>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</si>
  <si>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</si>
  <si>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</si>
  <si>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</si>
  <si>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</si>
  <si>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</si>
  <si>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US 90 Widening</t>
  </si>
  <si>
    <t>Data entered by the sponsors</t>
  </si>
  <si>
    <t>County</t>
  </si>
  <si>
    <t>Waller</t>
  </si>
  <si>
    <t>HGAC regional travel demand model data provided by HGAC</t>
  </si>
  <si>
    <t>Facility Type</t>
  </si>
  <si>
    <t>Non Freeway</t>
  </si>
  <si>
    <t>Data populated/calculated based on inputs</t>
  </si>
  <si>
    <t>Street Name:</t>
  </si>
  <si>
    <t>US 90</t>
  </si>
  <si>
    <t>Benefits calculated by the template</t>
  </si>
  <si>
    <t>Limits (From)</t>
  </si>
  <si>
    <t>FM 2855</t>
  </si>
  <si>
    <t>Limits (To)</t>
  </si>
  <si>
    <t>FM 1463</t>
  </si>
  <si>
    <t>Length (in Miles)</t>
  </si>
  <si>
    <t>Application ID Number:</t>
  </si>
  <si>
    <t>Sponsor ID Number (CSJ, etc.):</t>
  </si>
  <si>
    <t>0271-09-026</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</si>
  <si>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</si>
  <si>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</si>
  <si>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</si>
  <si>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</si>
  <si>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</si>
  <si>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</si>
  <si>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</si>
  <si>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</si>
  <si>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</si>
  <si>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</si>
  <si>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</si>
  <si>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</si>
  <si>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</si>
  <si>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</si>
  <si>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</si>
  <si>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</si>
  <si>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</si>
  <si>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</si>
  <si>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</si>
  <si>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</si>
  <si>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</si>
  <si>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</si>
  <si>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</si>
  <si>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</si>
  <si>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</si>
  <si>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</si>
  <si>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</si>
  <si>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</si>
  <si>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</si>
  <si>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</si>
  <si>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</si>
  <si>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</si>
  <si>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</si>
  <si>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</si>
  <si>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</si>
  <si>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</si>
  <si>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</si>
  <si>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</si>
  <si>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</si>
  <si>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</si>
  <si>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</si>
  <si>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</si>
  <si>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</si>
  <si>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</si>
  <si>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</si>
  <si>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</si>
  <si>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</si>
  <si>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</si>
  <si>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</si>
  <si>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</si>
  <si>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</si>
  <si>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</si>
  <si>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</si>
  <si>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</si>
  <si>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</si>
  <si>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</si>
  <si>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</si>
  <si>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</si>
  <si>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</si>
  <si>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</si>
  <si>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</si>
  <si>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</si>
  <si>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</si>
  <si>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</si>
  <si>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</si>
  <si>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</si>
  <si>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</si>
  <si>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</si>
  <si>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</si>
  <si>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</si>
  <si>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</si>
  <si>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</si>
  <si>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</si>
  <si>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</si>
  <si>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</si>
  <si>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</si>
  <si>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</si>
  <si>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</si>
  <si>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</si>
  <si>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</si>
  <si>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</si>
  <si>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</si>
  <si>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</si>
  <si>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</si>
  <si>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</si>
  <si>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</si>
  <si>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</si>
  <si>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</si>
  <si>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</si>
  <si>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</si>
  <si>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</si>
  <si>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</si>
  <si>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</si>
  <si>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</si>
  <si>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</si>
  <si>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</si>
  <si>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</si>
  <si>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</si>
  <si>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</si>
  <si>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</si>
  <si>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Montgomery</t>
  </si>
  <si>
    <t>Adding New Toll Roads</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</si>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</sst>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2" sqref="B12"/>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3.56</v>
      </c>
    </row>
    <row r="13" spans="1:7">
      <c r="A13" s="7" t="s">
        <v>65</v>
      </c>
      <c r="B13" s="116"/>
      <c r="F13" s="99"/>
    </row>
    <row r="14" spans="1:7">
      <c r="A14" s="7" t="s">
        <v>66</v>
      </c>
      <c r="B14" s="63" t="s">
        <v>67</v>
      </c>
    </row>
    <row r="17" spans="1:7">
      <c r="A17" s="98" t="s">
        <v>68</v>
      </c>
      <c r="E17" s="130" t="s">
        <v>69</v>
      </c>
      <c r="F17" s="131"/>
    </row>
    <row r="18" spans="1:7">
      <c r="A18" s="7" t="s">
        <v>70</v>
      </c>
      <c r="B18" s="117">
        <v>2028</v>
      </c>
      <c r="E18" s="87" t="s">
        <v>71</v>
      </c>
      <c r="F18" s="122">
        <f>$B$12/$B$32</f>
        <v>7.2653061224489793E-2</v>
      </c>
    </row>
    <row r="19" spans="1:7" ht="30">
      <c r="A19" s="7" t="s">
        <v>72</v>
      </c>
      <c r="B19" s="118" t="s">
        <v>73</v>
      </c>
      <c r="E19" s="89" t="s">
        <v>74</v>
      </c>
      <c r="F19" s="123">
        <f>$B$12/$B$33</f>
        <v>9.6216216216216219E-2</v>
      </c>
    </row>
    <row r="20" spans="1:7" ht="30">
      <c r="A20" s="113" t="s">
        <v>75</v>
      </c>
      <c r="B20" s="114">
        <f>VLOOKUP(B19,'Delay Reduction Factors'!B4:C80,2, FALSE)</f>
        <v>0.4</v>
      </c>
      <c r="E20" s="89" t="s">
        <v>76</v>
      </c>
      <c r="F20" s="122">
        <f>$F$19-$F$18</f>
        <v>2.3563154991726426E-2</v>
      </c>
    </row>
    <row r="21" spans="1:7">
      <c r="A21" s="7" t="s">
        <v>77</v>
      </c>
      <c r="B21" s="63">
        <v>20</v>
      </c>
      <c r="D21" s="100"/>
      <c r="E21" s="87" t="s">
        <v>78</v>
      </c>
      <c r="F21" s="122">
        <f>$F$20*$B$20</f>
        <v>9.4252619966905711E-3</v>
      </c>
      <c r="G21" s="101"/>
    </row>
    <row r="22" spans="1:7">
      <c r="D22" s="100"/>
      <c r="E22" s="87" t="s">
        <v>79</v>
      </c>
      <c r="F22" s="122">
        <f>$F$20-$F$21</f>
        <v>1.4137892995035855E-2</v>
      </c>
      <c r="G22" s="101"/>
    </row>
    <row r="23" spans="1:7">
      <c r="E23" s="87" t="s">
        <v>80</v>
      </c>
      <c r="F23" s="122">
        <f>$F$18+$F$22</f>
        <v>8.6790954219525651E-2</v>
      </c>
    </row>
    <row r="24" spans="1:7">
      <c r="A24" s="98" t="s">
        <v>81</v>
      </c>
      <c r="B24" s="102"/>
      <c r="D24" s="100"/>
    </row>
    <row r="25" spans="1:7">
      <c r="A25" s="7" t="s">
        <v>82</v>
      </c>
      <c r="B25" s="126">
        <v>5324</v>
      </c>
      <c r="D25" s="100"/>
    </row>
    <row r="28" spans="1:7">
      <c r="A28" s="87" t="s">
        <v>83</v>
      </c>
      <c r="B28" s="112">
        <f>IF(FacilityType='Delay Reduction Factors'!N5,'Inputs &amp; Outputs'!B25*45%, B25*43%)</f>
        <v>2289.3200000000002</v>
      </c>
      <c r="D28" s="100"/>
      <c r="E28" s="103" t="s">
        <v>84</v>
      </c>
      <c r="F28" s="104" t="s">
        <v>2</v>
      </c>
      <c r="G28" s="105" t="s">
        <v>85</v>
      </c>
    </row>
    <row r="29" spans="1:7">
      <c r="A29" s="87" t="s">
        <v>86</v>
      </c>
      <c r="B29" s="95">
        <f>VLOOKUP(Year_Open_to_Traffic?,Calculations!H4:I36,2)</f>
        <v>3947.9254332631067</v>
      </c>
      <c r="D29" s="100"/>
      <c r="E29" s="89" t="s">
        <v>87</v>
      </c>
      <c r="F29" s="83">
        <f>$B$29*$F$23</f>
        <v>342.64421554043929</v>
      </c>
      <c r="G29" s="84">
        <f>$B$29*$F$19</f>
        <v>379.85444709234218</v>
      </c>
    </row>
    <row r="30" spans="1:7">
      <c r="B30" s="82"/>
      <c r="D30" s="100"/>
    </row>
    <row r="32" spans="1:7">
      <c r="A32" s="106" t="s">
        <v>88</v>
      </c>
      <c r="B32" s="119">
        <v>49</v>
      </c>
      <c r="D32" s="100"/>
    </row>
    <row r="33" spans="1:7" ht="30">
      <c r="A33" s="107" t="s">
        <v>89</v>
      </c>
      <c r="B33" s="120">
        <v>37</v>
      </c>
      <c r="D33" s="100"/>
      <c r="E33" s="100"/>
      <c r="F33" s="108"/>
    </row>
    <row r="34" spans="1:7">
      <c r="A34" s="109"/>
      <c r="B34" s="121"/>
      <c r="F34" s="108"/>
      <c r="G34" s="108"/>
    </row>
    <row r="35" spans="1:7">
      <c r="A35" s="87" t="s">
        <v>90</v>
      </c>
      <c r="B35" s="125">
        <f>$B$28</f>
        <v>2289.3200000000002</v>
      </c>
    </row>
    <row r="36" spans="1:7">
      <c r="A36" s="106" t="s">
        <v>91</v>
      </c>
      <c r="B36" s="119">
        <v>11209</v>
      </c>
    </row>
    <row r="37" spans="1:7">
      <c r="A37" s="106" t="s">
        <v>92</v>
      </c>
      <c r="B37" s="119">
        <v>3358</v>
      </c>
    </row>
    <row r="38" spans="1:7">
      <c r="A38" s="106" t="s">
        <v>93</v>
      </c>
      <c r="B38" s="119">
        <v>11209</v>
      </c>
    </row>
    <row r="39" spans="1:7">
      <c r="A39" s="106" t="s">
        <v>94</v>
      </c>
      <c r="B39" s="119">
        <v>9878</v>
      </c>
    </row>
    <row r="40" spans="1:7">
      <c r="A40" s="106" t="s">
        <v>95</v>
      </c>
      <c r="B40" s="119">
        <v>21687</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3319.8144962487172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89087.496040514219</v>
      </c>
      <c r="F4" s="21">
        <f>'Inputs &amp; Outputs'!G29*Annual_Days_of_Travel</f>
        <v>98762.156244008962</v>
      </c>
      <c r="H4" s="49">
        <v>2018</v>
      </c>
      <c r="I4" s="50">
        <f>'Inputs &amp; Outputs'!B28</f>
        <v>2289.3200000000002</v>
      </c>
      <c r="J4" s="50">
        <f>IF(H4=Year_Open_to_Traffic?,$F$4,0)</f>
        <v>0</v>
      </c>
      <c r="K4" s="50">
        <f>IF(H4=Year_Open_to_Traffic?,Calculations!$E$4,0)</f>
        <v>0</v>
      </c>
      <c r="L4" s="50">
        <f>IF(AND(H4&gt;=Year_Open_to_Traffic?, Calculations!H4&lt;Year_Open_to_Traffic?+'Inputs &amp; Outputs'!B$21), 1, 0)</f>
        <v>0</v>
      </c>
      <c r="M4" s="65" t="s">
        <v>111</v>
      </c>
      <c r="N4" s="66">
        <f>MIN(E8,1)</f>
        <v>0.20423945044160943</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5.6252479261924337E-2</v>
      </c>
      <c r="F5" s="26"/>
      <c r="H5" s="14">
        <f t="shared" ref="H5:H36" si="3">H4+1</f>
        <v>2019</v>
      </c>
      <c r="I5" s="79">
        <f>(I4*M5)+I4</f>
        <v>2418.099925823909</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5.6252479261924337E-2</v>
      </c>
      <c r="N5" s="71">
        <f t="shared" ref="N5:N11" si="6">N4*(1+IFERROR(_2018_2025_V_C_Growth,_2018_2045_V_C_Growth))</f>
        <v>0.21572842589204289</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5.5429956037224004E-2</v>
      </c>
      <c r="F6" s="26"/>
      <c r="H6" s="49">
        <f t="shared" si="3"/>
        <v>2020</v>
      </c>
      <c r="I6" s="79">
        <f t="shared" ref="I6:I36" si="10">(I5*M6)+I5</f>
        <v>2554.1240417545791</v>
      </c>
      <c r="J6" s="50">
        <f t="shared" si="4"/>
        <v>0</v>
      </c>
      <c r="K6" s="50">
        <f>IF(H6=Year_Open_to_Traffic?,Calculations!$E$4,K5+(K5*M6))</f>
        <v>0</v>
      </c>
      <c r="L6" s="50">
        <f>IF(AND(H6&gt;=Year_Open_to_Traffic?, Calculations!H6&lt;Year_Open_to_Traffic?+'Inputs &amp; Outputs'!B$21), 1, 0)</f>
        <v>0</v>
      </c>
      <c r="M6" s="65">
        <f t="shared" si="5"/>
        <v>5.6252479261924337E-2</v>
      </c>
      <c r="N6" s="71">
        <f t="shared" si="6"/>
        <v>0.22786368469574261</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5.5643141275673047E-2</v>
      </c>
      <c r="F7" s="26"/>
      <c r="H7" s="14">
        <f t="shared" si="3"/>
        <v>2021</v>
      </c>
      <c r="I7" s="79">
        <f t="shared" si="10"/>
        <v>2697.7998514457609</v>
      </c>
      <c r="J7" s="50">
        <f t="shared" si="4"/>
        <v>0</v>
      </c>
      <c r="K7" s="50">
        <f>IF(H7=Year_Open_to_Traffic?,Calculations!$E$4,K6+(K6*M7))</f>
        <v>0</v>
      </c>
      <c r="L7" s="50">
        <f>IF(AND(H7&gt;=Year_Open_to_Traffic?, Calculations!H7&lt;Year_Open_to_Traffic?+'Inputs &amp; Outputs'!B$21), 1, 0)</f>
        <v>0</v>
      </c>
      <c r="M7" s="65">
        <f t="shared" si="5"/>
        <v>5.6252479261924337E-2</v>
      </c>
      <c r="N7" s="71">
        <f t="shared" si="6"/>
        <v>0.24068158189363553</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0.20423945044160943</v>
      </c>
      <c r="F8" s="26"/>
      <c r="H8" s="49">
        <f t="shared" si="3"/>
        <v>2022</v>
      </c>
      <c r="I8" s="79">
        <f t="shared" si="10"/>
        <v>2849.5577816420359</v>
      </c>
      <c r="J8" s="50">
        <f t="shared" si="4"/>
        <v>0</v>
      </c>
      <c r="K8" s="50">
        <f>IF(H8=Year_Open_to_Traffic?,Calculations!$E$4,K7+(K7*M8))</f>
        <v>0</v>
      </c>
      <c r="L8" s="50">
        <f>IF(AND(H8&gt;=Year_Open_to_Traffic?, Calculations!H8&lt;Year_Open_to_Traffic?+'Inputs &amp; Outputs'!B$21), 1, 0)</f>
        <v>0</v>
      </c>
      <c r="M8" s="65">
        <f t="shared" si="5"/>
        <v>5.6252479261924337E-2</v>
      </c>
      <c r="N8" s="71">
        <f t="shared" si="6"/>
        <v>0.25422051758783443</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0.29958069408511018</v>
      </c>
      <c r="F9" s="26"/>
      <c r="H9" s="14">
        <f t="shared" si="3"/>
        <v>2023</v>
      </c>
      <c r="I9" s="79">
        <f t="shared" si="10"/>
        <v>3009.8524716595098</v>
      </c>
      <c r="J9" s="50">
        <f t="shared" si="4"/>
        <v>0</v>
      </c>
      <c r="K9" s="50">
        <f>IF(H9=Year_Open_to_Traffic?,Calculations!$E$4,K8+(K8*M9))</f>
        <v>0</v>
      </c>
      <c r="L9" s="50">
        <f>IF(AND(H9&gt;=Year_Open_to_Traffic?, Calculations!H9&lt;Year_Open_to_Traffic?+'Inputs &amp; Outputs'!B$21), 1, 0)</f>
        <v>0</v>
      </c>
      <c r="M9" s="65">
        <f t="shared" si="5"/>
        <v>5.6252479261924337E-2</v>
      </c>
      <c r="N9" s="71">
        <f t="shared" si="6"/>
        <v>0.26852105198139975</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0.45548024161940331</v>
      </c>
      <c r="F10" s="26"/>
      <c r="H10" s="49">
        <f t="shared" si="3"/>
        <v>2024</v>
      </c>
      <c r="I10" s="79">
        <f t="shared" si="10"/>
        <v>3179.164135402988</v>
      </c>
      <c r="J10" s="50">
        <f t="shared" si="4"/>
        <v>0</v>
      </c>
      <c r="K10" s="50">
        <f>IF(H10=Year_Open_to_Traffic?,Calculations!$E$4,K9+(K9*M10))</f>
        <v>0</v>
      </c>
      <c r="L10" s="50">
        <f>IF(AND(H10&gt;=Year_Open_to_Traffic?, Calculations!H10&lt;Year_Open_to_Traffic?+'Inputs &amp; Outputs'!B$21), 1, 0)</f>
        <v>0</v>
      </c>
      <c r="M10" s="65">
        <f t="shared" si="5"/>
        <v>5.6252479261924337E-2</v>
      </c>
      <c r="N10" s="71">
        <f t="shared" si="6"/>
        <v>0.28362602688937355</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5.6252479261924337E-2</v>
      </c>
      <c r="F11" s="26"/>
      <c r="H11" s="14">
        <f t="shared" si="3"/>
        <v>2025</v>
      </c>
      <c r="I11" s="79">
        <f t="shared" si="10"/>
        <v>3357.9999999999982</v>
      </c>
      <c r="J11" s="50">
        <f t="shared" si="4"/>
        <v>0</v>
      </c>
      <c r="K11" s="50">
        <f>IF(H11=Year_Open_to_Traffic?,Calculations!$E$4,K10+(K10*M11))</f>
        <v>0</v>
      </c>
      <c r="L11" s="50">
        <f>IF(AND(H11&gt;=Year_Open_to_Traffic?, Calculations!H11&lt;Year_Open_to_Traffic?+'Inputs &amp; Outputs'!B$21), 1, 0)</f>
        <v>0</v>
      </c>
      <c r="M11" s="65">
        <f t="shared" si="5"/>
        <v>5.6252479261924337E-2</v>
      </c>
      <c r="N11" s="71">
        <f t="shared" si="6"/>
        <v>0.29958069408511001</v>
      </c>
      <c r="O11" s="72">
        <f t="shared" si="7"/>
        <v>1</v>
      </c>
      <c r="P11" s="68">
        <f t="shared" si="8"/>
        <v>0</v>
      </c>
      <c r="Q11" s="69">
        <f t="shared" si="0"/>
        <v>0</v>
      </c>
      <c r="R11" s="70">
        <f t="shared" si="1"/>
        <v>20.787565583925574</v>
      </c>
      <c r="S11" s="77">
        <f t="shared" si="2"/>
        <v>0</v>
      </c>
      <c r="T11" s="64">
        <f t="shared" si="9"/>
        <v>0</v>
      </c>
      <c r="W11" s="58"/>
    </row>
    <row r="12" spans="1:24">
      <c r="A12" s="17" t="s">
        <v>123</v>
      </c>
      <c r="B12" s="18">
        <v>0.45</v>
      </c>
      <c r="D12" s="17" t="s">
        <v>124</v>
      </c>
      <c r="E12" s="39">
        <f>(E10/E9)^(1/(2045-2025))-1</f>
        <v>2.1169384888638287E-2</v>
      </c>
      <c r="F12" s="26"/>
      <c r="H12" s="49">
        <v>2026</v>
      </c>
      <c r="I12" s="79">
        <f t="shared" si="10"/>
        <v>3544.1337923729961</v>
      </c>
      <c r="J12" s="50">
        <f t="shared" si="4"/>
        <v>0</v>
      </c>
      <c r="K12" s="50">
        <f>IF(H12=Year_Open_to_Traffic?,Calculations!$E$4,K11+(K11*M12))</f>
        <v>0</v>
      </c>
      <c r="L12" s="50">
        <f>IF(AND(H12&gt;=Year_Open_to_Traffic?, Calculations!H12&lt;Year_Open_to_Traffic?+'Inputs &amp; Outputs'!B$21), 1, 0)</f>
        <v>0</v>
      </c>
      <c r="M12" s="65">
        <f t="shared" ref="M12:M36" si="11">IFERROR(_2025_2045_Demand_Growth,_2018_2045_Demand_Growth)</f>
        <v>5.5429956037224004E-2</v>
      </c>
      <c r="N12" s="71">
        <f t="shared" ref="N12:N36" si="12">N11*(1+IFERROR(_2025_2045_V_C_Growth,_2018_2045_V_C_Growth))</f>
        <v>0.30592263310340312</v>
      </c>
      <c r="O12" s="72">
        <f t="shared" si="7"/>
        <v>1</v>
      </c>
      <c r="P12" s="68">
        <f t="shared" si="8"/>
        <v>0</v>
      </c>
      <c r="Q12" s="69">
        <f t="shared" si="0"/>
        <v>0</v>
      </c>
      <c r="R12" s="70">
        <f t="shared" si="1"/>
        <v>21.265679592355859</v>
      </c>
      <c r="S12" s="77">
        <f t="shared" si="2"/>
        <v>0</v>
      </c>
      <c r="T12" s="64">
        <f t="shared" si="9"/>
        <v>0</v>
      </c>
      <c r="W12" s="58"/>
    </row>
    <row r="13" spans="1:24">
      <c r="A13" s="17" t="s">
        <v>55</v>
      </c>
      <c r="B13" s="18">
        <v>0.43</v>
      </c>
      <c r="D13" s="17" t="s">
        <v>125</v>
      </c>
      <c r="E13" s="39">
        <f>(E10/E8)^(1/(2045-2018))-1</f>
        <v>3.0151520165313306E-2</v>
      </c>
      <c r="F13" s="26"/>
      <c r="H13" s="14">
        <f t="shared" si="3"/>
        <v>2027</v>
      </c>
      <c r="I13" s="79">
        <f t="shared" si="10"/>
        <v>3740.5849726742713</v>
      </c>
      <c r="J13" s="50">
        <f t="shared" si="4"/>
        <v>0</v>
      </c>
      <c r="K13" s="50">
        <f>IF(H13=Year_Open_to_Traffic?,Calculations!$E$4,K12+(K12*M13))</f>
        <v>0</v>
      </c>
      <c r="L13" s="50">
        <f>IF(AND(H13&gt;=Year_Open_to_Traffic?, Calculations!H13&lt;Year_Open_to_Traffic?+'Inputs &amp; Outputs'!B$21), 1, 0)</f>
        <v>0</v>
      </c>
      <c r="M13" s="65">
        <f t="shared" si="11"/>
        <v>5.5429956037224004E-2</v>
      </c>
      <c r="N13" s="71">
        <f t="shared" si="12"/>
        <v>0.31239882706971472</v>
      </c>
      <c r="O13" s="72">
        <f t="shared" si="7"/>
        <v>1</v>
      </c>
      <c r="P13" s="68">
        <f t="shared" si="8"/>
        <v>0</v>
      </c>
      <c r="Q13" s="69">
        <f t="shared" si="0"/>
        <v>0</v>
      </c>
      <c r="R13" s="70">
        <f t="shared" si="1"/>
        <v>21.754790222980041</v>
      </c>
      <c r="S13" s="77">
        <f t="shared" si="2"/>
        <v>0</v>
      </c>
      <c r="T13" s="64">
        <f t="shared" si="9"/>
        <v>0</v>
      </c>
      <c r="W13" s="58"/>
    </row>
    <row r="14" spans="1:24">
      <c r="H14" s="49">
        <f>H13+1</f>
        <v>2028</v>
      </c>
      <c r="I14" s="79">
        <f t="shared" si="10"/>
        <v>3947.9254332631067</v>
      </c>
      <c r="J14" s="50">
        <f t="shared" si="4"/>
        <v>98762.156244008962</v>
      </c>
      <c r="K14" s="50">
        <f>IF(H14=Year_Open_to_Traffic?,Calculations!$E$4,K13+(K13*M14))</f>
        <v>89087.496040514219</v>
      </c>
      <c r="L14" s="50">
        <f>IF(AND(H14&gt;=Year_Open_to_Traffic?, Calculations!H14&lt;Year_Open_to_Traffic?+'Inputs &amp; Outputs'!B$21), 1, 0)</f>
        <v>1</v>
      </c>
      <c r="M14" s="65">
        <f t="shared" si="11"/>
        <v>5.5429956037224004E-2</v>
      </c>
      <c r="N14" s="71">
        <f t="shared" si="12"/>
        <v>0.31901211807871266</v>
      </c>
      <c r="O14" s="72">
        <f t="shared" si="7"/>
        <v>1</v>
      </c>
      <c r="P14" s="68">
        <f t="shared" si="8"/>
        <v>9674.6602034947427</v>
      </c>
      <c r="Q14" s="69">
        <f t="shared" si="0"/>
        <v>1</v>
      </c>
      <c r="R14" s="70">
        <f t="shared" si="1"/>
        <v>22.255150398108579</v>
      </c>
      <c r="S14" s="77">
        <f t="shared" si="2"/>
        <v>299.28231485232601</v>
      </c>
      <c r="T14" s="64">
        <f t="shared" si="9"/>
        <v>152.13995290361967</v>
      </c>
      <c r="W14" s="58"/>
    </row>
    <row r="15" spans="1:24">
      <c r="H15" s="14">
        <f t="shared" si="3"/>
        <v>2029</v>
      </c>
      <c r="I15" s="79">
        <f t="shared" si="10"/>
        <v>4166.7587664671191</v>
      </c>
      <c r="J15" s="50">
        <f t="shared" si="4"/>
        <v>104236.53822275583</v>
      </c>
      <c r="K15" s="50">
        <f>IF(H15=Year_Open_to_Traffic?,Calculations!$E$4,K14+(K14*M15))</f>
        <v>94025.612029506286</v>
      </c>
      <c r="L15" s="50">
        <f>IF(AND(H15&gt;=Year_Open_to_Traffic?, Calculations!H15&lt;Year_Open_to_Traffic?+'Inputs &amp; Outputs'!B$21), 1, 0)</f>
        <v>1</v>
      </c>
      <c r="M15" s="65">
        <f t="shared" si="11"/>
        <v>5.5429956037224004E-2</v>
      </c>
      <c r="N15" s="71">
        <f t="shared" si="12"/>
        <v>0.32576540839046064</v>
      </c>
      <c r="O15" s="72">
        <f t="shared" si="7"/>
        <v>1</v>
      </c>
      <c r="P15" s="68">
        <f t="shared" si="8"/>
        <v>10210.926193249543</v>
      </c>
      <c r="Q15" s="69">
        <f t="shared" si="0"/>
        <v>1</v>
      </c>
      <c r="R15" s="70">
        <f t="shared" si="1"/>
        <v>22.767018857265079</v>
      </c>
      <c r="S15" s="77">
        <f t="shared" si="2"/>
        <v>323.13656537667737</v>
      </c>
      <c r="T15" s="64">
        <f t="shared" si="9"/>
        <v>153.51985445988586</v>
      </c>
      <c r="W15" s="58"/>
    </row>
    <row r="16" spans="1:24">
      <c r="H16" s="49">
        <f t="shared" si="3"/>
        <v>2030</v>
      </c>
      <c r="I16" s="79">
        <f t="shared" si="10"/>
        <v>4397.7220217101094</v>
      </c>
      <c r="J16" s="50">
        <f t="shared" si="4"/>
        <v>110014.3649539156</v>
      </c>
      <c r="K16" s="50">
        <f>IF(H16=Year_Open_to_Traffic?,Calculations!$E$4,K15+(K15*M16))</f>
        <v>99237.447570674907</v>
      </c>
      <c r="L16" s="50">
        <f>IF(AND(H16&gt;=Year_Open_to_Traffic?, Calculations!H16&lt;Year_Open_to_Traffic?+'Inputs &amp; Outputs'!B$21), 1, 0)</f>
        <v>1</v>
      </c>
      <c r="M16" s="65">
        <f t="shared" si="11"/>
        <v>5.5429956037224004E-2</v>
      </c>
      <c r="N16" s="71">
        <f t="shared" si="12"/>
        <v>0.33266166170408273</v>
      </c>
      <c r="O16" s="72">
        <f t="shared" si="7"/>
        <v>1</v>
      </c>
      <c r="P16" s="68">
        <f t="shared" si="8"/>
        <v>10776.917383240696</v>
      </c>
      <c r="Q16" s="69">
        <f t="shared" si="0"/>
        <v>1</v>
      </c>
      <c r="R16" s="70">
        <f t="shared" si="1"/>
        <v>23.290660290982171</v>
      </c>
      <c r="S16" s="77">
        <f t="shared" si="2"/>
        <v>348.892115242285</v>
      </c>
      <c r="T16" s="64">
        <f t="shared" si="9"/>
        <v>154.91227165237137</v>
      </c>
      <c r="W16" s="58"/>
    </row>
    <row r="17" spans="1:23">
      <c r="A17" s="27"/>
      <c r="H17" s="14">
        <f t="shared" si="3"/>
        <v>2031</v>
      </c>
      <c r="I17" s="79">
        <f t="shared" si="10"/>
        <v>4641.4875600374326</v>
      </c>
      <c r="J17" s="50">
        <f t="shared" si="4"/>
        <v>116112.45636677426</v>
      </c>
      <c r="K17" s="50">
        <f>IF(H17=Year_Open_to_Traffic?,Calculations!$E$4,K16+(K16*M17))</f>
        <v>104738.17492676374</v>
      </c>
      <c r="L17" s="50">
        <f>IF(AND(H17&gt;=Year_Open_to_Traffic?, Calculations!H17&lt;Year_Open_to_Traffic?+'Inputs &amp; Outputs'!B$21), 1, 0)</f>
        <v>1</v>
      </c>
      <c r="M17" s="65">
        <f t="shared" si="11"/>
        <v>5.5429956037224004E-2</v>
      </c>
      <c r="N17" s="71">
        <f t="shared" si="12"/>
        <v>0.33970390445839044</v>
      </c>
      <c r="O17" s="72">
        <f t="shared" si="7"/>
        <v>1</v>
      </c>
      <c r="P17" s="68">
        <f t="shared" si="8"/>
        <v>11374.281440010527</v>
      </c>
      <c r="Q17" s="69">
        <f t="shared" si="0"/>
        <v>1</v>
      </c>
      <c r="R17" s="70">
        <f t="shared" si="1"/>
        <v>23.82634547767476</v>
      </c>
      <c r="S17" s="77">
        <f t="shared" si="2"/>
        <v>376.70050721849276</v>
      </c>
      <c r="T17" s="64">
        <f t="shared" si="9"/>
        <v>156.31731799725392</v>
      </c>
      <c r="W17" s="58"/>
    </row>
    <row r="18" spans="1:23">
      <c r="H18" s="49">
        <f t="shared" si="3"/>
        <v>2032</v>
      </c>
      <c r="I18" s="79">
        <f t="shared" si="10"/>
        <v>4898.7650114376293</v>
      </c>
      <c r="J18" s="50">
        <f t="shared" si="4"/>
        <v>122548.56471855866</v>
      </c>
      <c r="K18" s="50">
        <f>IF(H18=Year_Open_to_Traffic?,Calculations!$E$4,K17+(K17*M18))</f>
        <v>110543.80735837332</v>
      </c>
      <c r="L18" s="50">
        <f>IF(AND(H18&gt;=Year_Open_to_Traffic?, Calculations!H18&lt;Year_Open_to_Traffic?+'Inputs &amp; Outputs'!B$21), 1, 0)</f>
        <v>1</v>
      </c>
      <c r="M18" s="65">
        <f t="shared" si="11"/>
        <v>5.5429956037224004E-2</v>
      </c>
      <c r="N18" s="71">
        <f t="shared" si="12"/>
        <v>0.34689522716004334</v>
      </c>
      <c r="O18" s="72">
        <f t="shared" si="7"/>
        <v>1</v>
      </c>
      <c r="P18" s="68">
        <f t="shared" si="8"/>
        <v>12004.757360185336</v>
      </c>
      <c r="Q18" s="69">
        <f t="shared" si="0"/>
        <v>1</v>
      </c>
      <c r="R18" s="70">
        <f t="shared" si="1"/>
        <v>24.374351423661277</v>
      </c>
      <c r="S18" s="77">
        <f t="shared" si="2"/>
        <v>406.72536276758888</v>
      </c>
      <c r="T18" s="64">
        <f t="shared" si="9"/>
        <v>157.73510804029692</v>
      </c>
      <c r="W18" s="58"/>
    </row>
    <row r="19" spans="1:23">
      <c r="H19" s="14">
        <f t="shared" si="3"/>
        <v>2033</v>
      </c>
      <c r="I19" s="79">
        <f t="shared" si="10"/>
        <v>5170.3033406583081</v>
      </c>
      <c r="J19" s="50">
        <f t="shared" si="4"/>
        <v>129341.42627333326</v>
      </c>
      <c r="K19" s="50">
        <f>IF(H19=Year_Open_to_Traffic?,Calculations!$E$4,K18+(K18*M19))</f>
        <v>116671.24574043532</v>
      </c>
      <c r="L19" s="50">
        <f>IF(AND(H19&gt;=Year_Open_to_Traffic?, Calculations!H19&lt;Year_Open_to_Traffic?+'Inputs &amp; Outputs'!B$21), 1, 0)</f>
        <v>1</v>
      </c>
      <c r="M19" s="65">
        <f t="shared" si="11"/>
        <v>5.5429956037224004E-2</v>
      </c>
      <c r="N19" s="71">
        <f t="shared" si="12"/>
        <v>0.35423878573982592</v>
      </c>
      <c r="O19" s="72">
        <f t="shared" si="7"/>
        <v>1</v>
      </c>
      <c r="P19" s="68">
        <f t="shared" si="8"/>
        <v>12670.180532897939</v>
      </c>
      <c r="Q19" s="69">
        <f t="shared" si="0"/>
        <v>1</v>
      </c>
      <c r="R19" s="70">
        <f t="shared" si="1"/>
        <v>24.934961506405479</v>
      </c>
      <c r="S19" s="77">
        <f t="shared" si="2"/>
        <v>439.14334477515524</v>
      </c>
      <c r="T19" s="64">
        <f t="shared" si="9"/>
        <v>159.16575736618745</v>
      </c>
      <c r="W19" s="58"/>
    </row>
    <row r="20" spans="1:23">
      <c r="H20" s="49">
        <f t="shared" si="3"/>
        <v>2034</v>
      </c>
      <c r="I20" s="79">
        <f t="shared" si="10"/>
        <v>5456.8930275301109</v>
      </c>
      <c r="J20" s="50">
        <f t="shared" si="4"/>
        <v>136510.81584545597</v>
      </c>
      <c r="K20" s="50">
        <f>IF(H20=Year_Open_to_Traffic?,Calculations!$E$4,K19+(K19*M20))</f>
        <v>123138.3277626358</v>
      </c>
      <c r="L20" s="50">
        <f>IF(AND(H20&gt;=Year_Open_to_Traffic?, Calculations!H20&lt;Year_Open_to_Traffic?+'Inputs &amp; Outputs'!B$21), 1, 0)</f>
        <v>1</v>
      </c>
      <c r="M20" s="65">
        <f t="shared" si="11"/>
        <v>5.5429956037224004E-2</v>
      </c>
      <c r="N20" s="71">
        <f t="shared" si="12"/>
        <v>0.36173780293763619</v>
      </c>
      <c r="O20" s="72">
        <f t="shared" si="7"/>
        <v>1</v>
      </c>
      <c r="P20" s="68">
        <f t="shared" si="8"/>
        <v>13372.488082820171</v>
      </c>
      <c r="Q20" s="69">
        <f t="shared" si="0"/>
        <v>1</v>
      </c>
      <c r="R20" s="70">
        <f t="shared" si="1"/>
        <v>25.508465621052807</v>
      </c>
      <c r="S20" s="77">
        <f t="shared" si="2"/>
        <v>474.14519701469374</v>
      </c>
      <c r="T20" s="64">
        <f t="shared" si="9"/>
        <v>160.60938260796095</v>
      </c>
      <c r="W20" s="58"/>
    </row>
    <row r="21" spans="1:23">
      <c r="H21" s="14">
        <f t="shared" si="3"/>
        <v>2035</v>
      </c>
      <c r="I21" s="79">
        <f t="shared" si="10"/>
        <v>5759.3683681459388</v>
      </c>
      <c r="J21" s="50">
        <f t="shared" si="4"/>
        <v>144077.60436637519</v>
      </c>
      <c r="K21" s="50">
        <f>IF(H21=Year_Open_to_Traffic?,Calculations!$E$4,K20+(K20*M21))</f>
        <v>129963.87985701599</v>
      </c>
      <c r="L21" s="50">
        <f>IF(AND(H21&gt;=Year_Open_to_Traffic?, Calculations!H21&lt;Year_Open_to_Traffic?+'Inputs &amp; Outputs'!B$21), 1, 0)</f>
        <v>1</v>
      </c>
      <c r="M21" s="65">
        <f t="shared" si="11"/>
        <v>5.5429956037224004E-2</v>
      </c>
      <c r="N21" s="71">
        <f t="shared" si="12"/>
        <v>0.36939556971679338</v>
      </c>
      <c r="O21" s="72">
        <f t="shared" si="7"/>
        <v>1</v>
      </c>
      <c r="P21" s="68">
        <f t="shared" si="8"/>
        <v>14113.724509359206</v>
      </c>
      <c r="Q21" s="69">
        <f t="shared" si="0"/>
        <v>1</v>
      </c>
      <c r="R21" s="70">
        <f t="shared" si="1"/>
        <v>26.095160330337016</v>
      </c>
      <c r="S21" s="77">
        <f t="shared" si="2"/>
        <v>511.93686646261057</v>
      </c>
      <c r="T21" s="64">
        <f t="shared" si="9"/>
        <v>162.06610145650751</v>
      </c>
      <c r="W21" s="58"/>
    </row>
    <row r="22" spans="1:23">
      <c r="H22" s="49">
        <f>H21+1</f>
        <v>2036</v>
      </c>
      <c r="I22" s="79">
        <f t="shared" si="10"/>
        <v>6078.6099035944471</v>
      </c>
      <c r="J22" s="50">
        <f t="shared" si="4"/>
        <v>152063.81964235191</v>
      </c>
      <c r="K22" s="50">
        <f>IF(H22=Year_Open_to_Traffic?,Calculations!$E$4,K21+(K21*M22))</f>
        <v>137167.77200391743</v>
      </c>
      <c r="L22" s="50">
        <f>IF(AND(H22&gt;=Year_Open_to_Traffic?, Calculations!H22&lt;Year_Open_to_Traffic?+'Inputs &amp; Outputs'!B$21), 1, 0)</f>
        <v>1</v>
      </c>
      <c r="M22" s="65">
        <f t="shared" si="11"/>
        <v>5.5429956037224004E-2</v>
      </c>
      <c r="N22" s="71">
        <f t="shared" si="12"/>
        <v>0.377215446708286</v>
      </c>
      <c r="O22" s="72">
        <f t="shared" si="7"/>
        <v>1</v>
      </c>
      <c r="P22" s="68">
        <f t="shared" si="8"/>
        <v>14896.04763843448</v>
      </c>
      <c r="Q22" s="69">
        <f t="shared" si="0"/>
        <v>1</v>
      </c>
      <c r="R22" s="70">
        <f t="shared" si="1"/>
        <v>26.695349017934767</v>
      </c>
      <c r="S22" s="77">
        <f t="shared" si="2"/>
        <v>552.74071506715006</v>
      </c>
      <c r="T22" s="64">
        <f t="shared" si="9"/>
        <v>163.53603267016769</v>
      </c>
      <c r="W22" s="58"/>
    </row>
    <row r="23" spans="1:23">
      <c r="H23" s="14">
        <f t="shared" si="3"/>
        <v>2037</v>
      </c>
      <c r="I23" s="79">
        <f t="shared" si="10"/>
        <v>6415.5469833181214</v>
      </c>
      <c r="J23" s="50">
        <f t="shared" si="4"/>
        <v>160492.71047997984</v>
      </c>
      <c r="K23" s="50">
        <f>IF(H23=Year_Open_to_Traffic?,Calculations!$E$4,K22+(K22*M23))</f>
        <v>144770.97557581853</v>
      </c>
      <c r="L23" s="50">
        <f>IF(AND(H23&gt;=Year_Open_to_Traffic?, Calculations!H23&lt;Year_Open_to_Traffic?+'Inputs &amp; Outputs'!B$21), 1, 0)</f>
        <v>1</v>
      </c>
      <c r="M23" s="65">
        <f t="shared" si="11"/>
        <v>5.5429956037224004E-2</v>
      </c>
      <c r="N23" s="71">
        <f t="shared" si="12"/>
        <v>0.38520086568559331</v>
      </c>
      <c r="O23" s="72">
        <f t="shared" si="7"/>
        <v>1</v>
      </c>
      <c r="P23" s="68">
        <f t="shared" si="8"/>
        <v>15721.734904161305</v>
      </c>
      <c r="Q23" s="69">
        <f t="shared" si="0"/>
        <v>1</v>
      </c>
      <c r="R23" s="70">
        <f t="shared" si="1"/>
        <v>27.309342045347261</v>
      </c>
      <c r="S23" s="77">
        <f t="shared" si="2"/>
        <v>596.79682810118209</v>
      </c>
      <c r="T23" s="64">
        <f t="shared" si="9"/>
        <v>165.01929608441438</v>
      </c>
      <c r="W23" s="58"/>
    </row>
    <row r="24" spans="1:23">
      <c r="H24" s="49">
        <f t="shared" si="3"/>
        <v>2038</v>
      </c>
      <c r="I24" s="79">
        <f t="shared" si="10"/>
        <v>6771.1604705581904</v>
      </c>
      <c r="J24" s="50">
        <f t="shared" si="4"/>
        <v>169388.81436618004</v>
      </c>
      <c r="K24" s="50">
        <f>IF(H24=Year_Open_to_Traffic?,Calculations!$E$4,K23+(K23*M24))</f>
        <v>152795.62438745218</v>
      </c>
      <c r="L24" s="50">
        <f>IF(AND(H24&gt;=Year_Open_to_Traffic?, Calculations!H24&lt;Year_Open_to_Traffic?+'Inputs &amp; Outputs'!B$21), 1, 0)</f>
        <v>1</v>
      </c>
      <c r="M24" s="65">
        <f t="shared" si="11"/>
        <v>5.5429956037224004E-2</v>
      </c>
      <c r="N24" s="71">
        <f t="shared" si="12"/>
        <v>0.39335533107072829</v>
      </c>
      <c r="O24" s="72">
        <f t="shared" si="7"/>
        <v>1</v>
      </c>
      <c r="P24" s="68">
        <f>(J24-K24)*L24</f>
        <v>16593.189978727867</v>
      </c>
      <c r="Q24" s="69">
        <f t="shared" si="0"/>
        <v>1</v>
      </c>
      <c r="R24" s="70">
        <f t="shared" si="1"/>
        <v>27.93745691239025</v>
      </c>
      <c r="S24" s="77">
        <f t="shared" si="2"/>
        <v>644.36442679704339</v>
      </c>
      <c r="T24" s="64">
        <f t="shared" si="9"/>
        <v>166.51601262162205</v>
      </c>
      <c r="W24" s="58"/>
    </row>
    <row r="25" spans="1:23">
      <c r="H25" s="14">
        <f t="shared" si="3"/>
        <v>2039</v>
      </c>
      <c r="I25" s="79">
        <f t="shared" si="10"/>
        <v>7146.4855977622201</v>
      </c>
      <c r="J25" s="50">
        <f t="shared" si="4"/>
        <v>178778.02889969491</v>
      </c>
      <c r="K25" s="50">
        <f>IF(H25=Year_Open_to_Traffic?,Calculations!$E$4,K24+(K24*M25))</f>
        <v>161265.07912992884</v>
      </c>
      <c r="L25" s="50">
        <f>IF(AND(H25&gt;=Year_Open_to_Traffic?, Calculations!H25&lt;Year_Open_to_Traffic?+'Inputs &amp; Outputs'!B$21), 1, 0)</f>
        <v>1</v>
      </c>
      <c r="M25" s="65">
        <f t="shared" si="11"/>
        <v>5.5429956037224004E-2</v>
      </c>
      <c r="N25" s="71">
        <f t="shared" si="12"/>
        <v>0.40168242147216227</v>
      </c>
      <c r="O25" s="72">
        <f t="shared" si="7"/>
        <v>1</v>
      </c>
      <c r="P25" s="68">
        <f t="shared" si="8"/>
        <v>17512.94976976607</v>
      </c>
      <c r="Q25" s="69">
        <f t="shared" si="0"/>
        <v>1</v>
      </c>
      <c r="R25" s="70">
        <f t="shared" si="1"/>
        <v>28.580018421375218</v>
      </c>
      <c r="S25" s="77">
        <f t="shared" si="2"/>
        <v>695.72339357522094</v>
      </c>
      <c r="T25" s="64">
        <f t="shared" si="9"/>
        <v>168.02630430092458</v>
      </c>
      <c r="W25" s="58"/>
    </row>
    <row r="26" spans="1:23">
      <c r="H26" s="49">
        <f t="shared" si="3"/>
        <v>2040</v>
      </c>
      <c r="I26" s="79">
        <f t="shared" si="10"/>
        <v>7542.6149802668342</v>
      </c>
      <c r="J26" s="50">
        <f t="shared" si="4"/>
        <v>188687.68718202657</v>
      </c>
      <c r="K26" s="50">
        <f>IF(H26=Year_Open_to_Traffic?,Calculations!$E$4,K25+(K25*M26))</f>
        <v>170203.99537644023</v>
      </c>
      <c r="L26" s="50">
        <f>IF(AND(H26&gt;=Year_Open_to_Traffic?, Calculations!H26&lt;Year_Open_to_Traffic?+'Inputs &amp; Outputs'!B$21), 1, 0)</f>
        <v>1</v>
      </c>
      <c r="M26" s="65">
        <f t="shared" si="11"/>
        <v>5.5429956037224004E-2</v>
      </c>
      <c r="N26" s="71">
        <f t="shared" si="12"/>
        <v>0.41018579125530669</v>
      </c>
      <c r="O26" s="72">
        <f t="shared" si="7"/>
        <v>1</v>
      </c>
      <c r="P26" s="68">
        <f t="shared" si="8"/>
        <v>18483.691805586335</v>
      </c>
      <c r="Q26" s="69">
        <f t="shared" si="0"/>
        <v>1</v>
      </c>
      <c r="R26" s="70">
        <f t="shared" si="1"/>
        <v>29.237358845066851</v>
      </c>
      <c r="S26" s="77">
        <f t="shared" si="2"/>
        <v>751.17591884115348</v>
      </c>
      <c r="T26" s="64">
        <f t="shared" si="9"/>
        <v>169.55029424816354</v>
      </c>
      <c r="W26" s="58"/>
    </row>
    <row r="27" spans="1:23">
      <c r="H27" s="14">
        <f t="shared" si="3"/>
        <v>2041</v>
      </c>
      <c r="I27" s="79">
        <f t="shared" si="10"/>
        <v>7960.7017970287325</v>
      </c>
      <c r="J27" s="50">
        <f t="shared" si="4"/>
        <v>199146.63738729176</v>
      </c>
      <c r="K27" s="50">
        <f>IF(H27=Year_Open_to_Traffic?,Calculations!$E$4,K26+(K26*M27))</f>
        <v>179638.39535751619</v>
      </c>
      <c r="L27" s="50">
        <f>IF(AND(H27&gt;=Year_Open_to_Traffic?, Calculations!H27&lt;Year_Open_to_Traffic?+'Inputs &amp; Outputs'!B$21), 1, 0)</f>
        <v>1</v>
      </c>
      <c r="M27" s="65">
        <f t="shared" si="11"/>
        <v>5.5429956037224004E-2</v>
      </c>
      <c r="N27" s="71">
        <f t="shared" si="12"/>
        <v>0.41886917214624092</v>
      </c>
      <c r="O27" s="72">
        <f t="shared" si="7"/>
        <v>1</v>
      </c>
      <c r="P27" s="68">
        <f t="shared" si="8"/>
        <v>19508.242029775574</v>
      </c>
      <c r="Q27" s="69">
        <f t="shared" si="0"/>
        <v>1</v>
      </c>
      <c r="R27" s="70">
        <f t="shared" si="1"/>
        <v>29.909818098503379</v>
      </c>
      <c r="S27" s="77">
        <f t="shared" si="2"/>
        <v>811.04827903971045</v>
      </c>
      <c r="T27" s="64">
        <f t="shared" si="9"/>
        <v>171.08810670592484</v>
      </c>
      <c r="W27" s="58"/>
    </row>
    <row r="28" spans="1:23">
      <c r="H28" s="49">
        <f t="shared" si="3"/>
        <v>2042</v>
      </c>
      <c r="I28" s="79">
        <f t="shared" si="10"/>
        <v>8401.9631476634859</v>
      </c>
      <c r="J28" s="50">
        <f t="shared" si="4"/>
        <v>210185.32674263034</v>
      </c>
      <c r="K28" s="50">
        <f>IF(H28=Year_Open_to_Traffic?,Calculations!$E$4,K27+(K27*M28))</f>
        <v>189595.74371478078</v>
      </c>
      <c r="L28" s="50">
        <f>IF(AND(H28&gt;=Year_Open_to_Traffic?, Calculations!H28&lt;Year_Open_to_Traffic?+'Inputs &amp; Outputs'!B$21), 1, 0)</f>
        <v>1</v>
      </c>
      <c r="M28" s="65">
        <f t="shared" si="11"/>
        <v>5.5429956037224004E-2</v>
      </c>
      <c r="N28" s="71">
        <f t="shared" si="12"/>
        <v>0.42773637486938998</v>
      </c>
      <c r="O28" s="72">
        <f t="shared" si="7"/>
        <v>1</v>
      </c>
      <c r="P28" s="68">
        <f t="shared" si="8"/>
        <v>20589.583027849556</v>
      </c>
      <c r="Q28" s="69">
        <f t="shared" si="0"/>
        <v>1</v>
      </c>
      <c r="R28" s="70">
        <f t="shared" si="1"/>
        <v>30.597743914768959</v>
      </c>
      <c r="S28" s="77">
        <f t="shared" si="2"/>
        <v>875.69275642923935</v>
      </c>
      <c r="T28" s="64">
        <f t="shared" si="9"/>
        <v>172.63986704366914</v>
      </c>
      <c r="W28" s="58"/>
    </row>
    <row r="29" spans="1:23">
      <c r="H29" s="14">
        <f t="shared" si="3"/>
        <v>2043</v>
      </c>
      <c r="I29" s="79">
        <f t="shared" si="10"/>
        <v>8867.6835955648494</v>
      </c>
      <c r="J29" s="50">
        <f t="shared" si="4"/>
        <v>221835.8901636439</v>
      </c>
      <c r="K29" s="50">
        <f>IF(H29=Year_Open_to_Traffic?,Calculations!$E$4,K28+(K28*M29))</f>
        <v>200105.02745373588</v>
      </c>
      <c r="L29" s="50">
        <f>IF(AND(H29&gt;=Year_Open_to_Traffic?, Calculations!H29&lt;Year_Open_to_Traffic?+'Inputs &amp; Outputs'!B$21), 1, 0)</f>
        <v>1</v>
      </c>
      <c r="M29" s="65">
        <f t="shared" si="11"/>
        <v>5.5429956037224004E-2</v>
      </c>
      <c r="N29" s="71">
        <f t="shared" si="12"/>
        <v>0.43679129081987095</v>
      </c>
      <c r="O29" s="72">
        <f t="shared" si="7"/>
        <v>1</v>
      </c>
      <c r="P29" s="68">
        <f t="shared" si="8"/>
        <v>21730.862709908019</v>
      </c>
      <c r="Q29" s="69">
        <f t="shared" si="0"/>
        <v>1</v>
      </c>
      <c r="R29" s="70">
        <f t="shared" si="1"/>
        <v>31.301492024808638</v>
      </c>
      <c r="S29" s="77">
        <f t="shared" si="2"/>
        <v>945.48971187089217</v>
      </c>
      <c r="T29" s="64">
        <f t="shared" si="9"/>
        <v>174.20570176795115</v>
      </c>
      <c r="W29" s="58"/>
    </row>
    <row r="30" spans="1:23">
      <c r="H30" s="14">
        <f t="shared" si="3"/>
        <v>2044</v>
      </c>
      <c r="I30" s="79">
        <f t="shared" si="10"/>
        <v>9359.218907419021</v>
      </c>
      <c r="J30" s="50">
        <f t="shared" si="4"/>
        <v>234132.24380289312</v>
      </c>
      <c r="K30" s="50">
        <f>IF(H30=Year_Open_to_Traffic?,Calculations!$E$4,K29+(K29*M30))</f>
        <v>211196.84032832395</v>
      </c>
      <c r="L30" s="50">
        <f>IF(AND(H30&gt;=Year_Open_to_Traffic?, Calculations!H30&lt;Year_Open_to_Traffic?+'Inputs &amp; Outputs'!B$21), 1, 0)</f>
        <v>1</v>
      </c>
      <c r="M30" s="65">
        <f t="shared" si="11"/>
        <v>5.5429956037224004E-2</v>
      </c>
      <c r="N30" s="71">
        <f t="shared" si="12"/>
        <v>0.44603789377124192</v>
      </c>
      <c r="O30" s="72">
        <f t="shared" si="7"/>
        <v>1</v>
      </c>
      <c r="P30" s="68">
        <f t="shared" si="8"/>
        <v>22935.403474569175</v>
      </c>
      <c r="Q30" s="69">
        <f t="shared" si="0"/>
        <v>1</v>
      </c>
      <c r="R30" s="70">
        <f t="shared" si="1"/>
        <v>32.021426341379232</v>
      </c>
      <c r="S30" s="77">
        <f t="shared" si="2"/>
        <v>1020.8498228293148</v>
      </c>
      <c r="T30" s="64">
        <f t="shared" si="9"/>
        <v>175.78573853273389</v>
      </c>
      <c r="W30" s="58"/>
    </row>
    <row r="31" spans="1:23">
      <c r="H31" s="14">
        <f t="shared" si="3"/>
        <v>2045</v>
      </c>
      <c r="I31" s="79">
        <f t="shared" si="10"/>
        <v>9878.0000000000127</v>
      </c>
      <c r="J31" s="50">
        <f t="shared" si="4"/>
        <v>247110.1837837841</v>
      </c>
      <c r="K31" s="50">
        <f>IF(H31=Year_Open_to_Traffic?,Calculations!$E$4,K30+(K30*M31))</f>
        <v>222903.47190292357</v>
      </c>
      <c r="L31" s="50">
        <f>IF(AND(H31&gt;=Year_Open_to_Traffic?, Calculations!H31&lt;Year_Open_to_Traffic?+'Inputs &amp; Outputs'!B$21), 1, 0)</f>
        <v>1</v>
      </c>
      <c r="M31" s="65">
        <f t="shared" si="11"/>
        <v>5.5429956037224004E-2</v>
      </c>
      <c r="N31" s="71">
        <f t="shared" si="12"/>
        <v>0.45548024161940293</v>
      </c>
      <c r="O31" s="72">
        <f t="shared" si="7"/>
        <v>1</v>
      </c>
      <c r="P31" s="68">
        <f t="shared" si="8"/>
        <v>24206.71188086053</v>
      </c>
      <c r="Q31" s="69">
        <f t="shared" si="0"/>
        <v>1</v>
      </c>
      <c r="R31" s="70">
        <f t="shared" si="1"/>
        <v>32.757919147230957</v>
      </c>
      <c r="S31" s="77">
        <f t="shared" si="2"/>
        <v>1102.2164997528266</v>
      </c>
      <c r="T31" s="64">
        <f t="shared" si="9"/>
        <v>177.38010614979478</v>
      </c>
      <c r="W31" s="58"/>
    </row>
    <row r="32" spans="1:23">
      <c r="H32" s="14">
        <f t="shared" si="3"/>
        <v>2046</v>
      </c>
      <c r="I32" s="79">
        <f t="shared" si="10"/>
        <v>10425.537105735712</v>
      </c>
      <c r="J32" s="50">
        <f t="shared" si="4"/>
        <v>260807.49040726959</v>
      </c>
      <c r="K32" s="50">
        <f>IF(H32=Year_Open_to_Traffic?,Calculations!$E$4,K31+(K31*M32))</f>
        <v>235259.00155104723</v>
      </c>
      <c r="L32" s="50">
        <f>IF(AND(H32&gt;=Year_Open_to_Traffic?, Calculations!H32&lt;Year_Open_to_Traffic?+'Inputs &amp; Outputs'!B$21), 1, 0)</f>
        <v>1</v>
      </c>
      <c r="M32" s="65">
        <f t="shared" si="11"/>
        <v>5.5429956037224004E-2</v>
      </c>
      <c r="N32" s="71">
        <f t="shared" si="12"/>
        <v>0.46512247816341401</v>
      </c>
      <c r="O32" s="72">
        <f t="shared" si="7"/>
        <v>1</v>
      </c>
      <c r="P32" s="68">
        <f t="shared" si="8"/>
        <v>25548.488856222364</v>
      </c>
      <c r="Q32" s="69">
        <f t="shared" si="0"/>
        <v>1</v>
      </c>
      <c r="R32" s="70">
        <f t="shared" si="1"/>
        <v>33.511351287617266</v>
      </c>
      <c r="S32" s="77">
        <f t="shared" si="2"/>
        <v>1190.0684950508132</v>
      </c>
      <c r="T32" s="64">
        <f t="shared" si="9"/>
        <v>178.98893459922778</v>
      </c>
      <c r="W32" s="58"/>
    </row>
    <row r="33" spans="8:23">
      <c r="H33" s="14">
        <f t="shared" si="3"/>
        <v>2047</v>
      </c>
      <c r="I33" s="79">
        <f t="shared" si="10"/>
        <v>11003.42416917109</v>
      </c>
      <c r="J33" s="50">
        <f t="shared" si="4"/>
        <v>275264.03813472326</v>
      </c>
      <c r="K33" s="50">
        <f>IF(H33=Year_Open_to_Traffic?,Calculations!$E$4,K32+(K32*M33))</f>
        <v>248299.397664383</v>
      </c>
      <c r="L33" s="50">
        <f>IF(AND(H33&gt;=Year_Open_to_Traffic?, Calculations!H33&lt;Year_Open_to_Traffic?+'Inputs &amp; Outputs'!B$21), 1, 0)</f>
        <v>1</v>
      </c>
      <c r="M33" s="65">
        <f t="shared" si="11"/>
        <v>5.5429956037224004E-2</v>
      </c>
      <c r="N33" s="71">
        <f t="shared" si="12"/>
        <v>0.4749688349240126</v>
      </c>
      <c r="O33" s="72">
        <f t="shared" si="7"/>
        <v>1</v>
      </c>
      <c r="P33" s="68">
        <f t="shared" si="8"/>
        <v>26964.640470340266</v>
      </c>
      <c r="Q33" s="69">
        <f t="shared" si="0"/>
        <v>1</v>
      </c>
      <c r="R33" s="70">
        <f t="shared" si="1"/>
        <v>34.282112367232457</v>
      </c>
      <c r="S33" s="77">
        <f t="shared" si="2"/>
        <v>1284.9227200192581</v>
      </c>
      <c r="T33" s="64">
        <f t="shared" si="9"/>
        <v>180.61235504003955</v>
      </c>
      <c r="W33" s="58"/>
    </row>
    <row r="34" spans="8:23">
      <c r="H34" s="14">
        <f t="shared" si="3"/>
        <v>2048</v>
      </c>
      <c r="I34" s="79">
        <f t="shared" si="10"/>
        <v>11613.343487127171</v>
      </c>
      <c r="J34" s="50">
        <f t="shared" si="4"/>
        <v>290521.9116671597</v>
      </c>
      <c r="K34" s="50">
        <f>IF(H34=Year_Open_to_Traffic?,Calculations!$E$4,K33+(K33*M34))</f>
        <v>262062.62236098896</v>
      </c>
      <c r="L34" s="50">
        <f>IF(AND(H34&gt;=Year_Open_to_Traffic?, Calculations!H34&lt;Year_Open_to_Traffic?+'Inputs &amp; Outputs'!B$21), 1, 0)</f>
        <v>0</v>
      </c>
      <c r="M34" s="65">
        <f t="shared" si="11"/>
        <v>5.5429956037224004E-2</v>
      </c>
      <c r="N34" s="71">
        <f t="shared" si="12"/>
        <v>0.48502363300062712</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12257.070606063811</v>
      </c>
      <c r="J35" s="50">
        <f t="shared" si="4"/>
        <v>306625.52845872066</v>
      </c>
      <c r="K35" s="50">
        <f>IF(H35=Year_Open_to_Traffic?,Calculations!$E$4,K34+(K34*M35))</f>
        <v>276588.74199745822</v>
      </c>
      <c r="L35" s="50">
        <f>IF(AND(H35&gt;=Year_Open_to_Traffic?, Calculations!H35&lt;Year_Open_to_Traffic?+'Inputs &amp; Outputs'!B$21), 1, 0)</f>
        <v>0</v>
      </c>
      <c r="M35" s="65">
        <f t="shared" si="11"/>
        <v>5.5429956037224004E-2</v>
      </c>
      <c r="N35" s="71">
        <f t="shared" si="12"/>
        <v>0.49529128496770303</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12936.479490903079</v>
      </c>
      <c r="J36" s="50">
        <f t="shared" si="4"/>
        <v>323621.76802107814</v>
      </c>
      <c r="K36" s="50">
        <f>IF(H36=Year_Open_to_Traffic?,Calculations!$E$4,K35+(K35*M36))</f>
        <v>291920.04380676843</v>
      </c>
      <c r="L36" s="50">
        <f>IF(AND(H36&gt;=Year_Open_to_Traffic?, Calculations!H36&lt;Year_Open_to_Traffic?+'Inputs &amp; Outputs'!B$21), 1, 0)</f>
        <v>0</v>
      </c>
      <c r="M36" s="65">
        <f t="shared" si="11"/>
        <v>5.5429956037224004E-2</v>
      </c>
      <c r="N36" s="71">
        <f t="shared" si="12"/>
        <v>0.50577629681117253</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3319.8144962487172</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159</v>
      </c>
      <c r="N6" s="44" t="s">
        <v>55</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164</v>
      </c>
      <c r="C9" s="81">
        <v>0.2</v>
      </c>
      <c r="D9" s="74">
        <v>0.02</v>
      </c>
      <c r="E9" s="74">
        <v>0.02</v>
      </c>
      <c r="F9" s="74">
        <v>0.2</v>
      </c>
      <c r="G9" s="91">
        <v>0.15</v>
      </c>
      <c r="H9" s="93"/>
      <c r="L9" s="44" t="s">
        <v>165</v>
      </c>
    </row>
    <row r="10" spans="2:14">
      <c r="B10" s="73" t="s">
        <v>166</v>
      </c>
      <c r="C10" s="81">
        <v>0.3</v>
      </c>
      <c r="D10" s="74">
        <v>0.1</v>
      </c>
      <c r="E10" s="74">
        <v>0.1</v>
      </c>
      <c r="F10" s="74">
        <v>0.3</v>
      </c>
      <c r="G10" s="91">
        <v>0.22</v>
      </c>
      <c r="H10" s="93"/>
      <c r="L10" s="44" t="s">
        <v>167</v>
      </c>
    </row>
    <row r="11" spans="2:14">
      <c r="B11" s="73" t="s">
        <v>73</v>
      </c>
      <c r="C11" s="81">
        <v>0.4</v>
      </c>
      <c r="D11" s="74">
        <v>0.2</v>
      </c>
      <c r="E11" s="74">
        <v>0.12</v>
      </c>
      <c r="F11" s="74">
        <v>0.4</v>
      </c>
      <c r="G11" s="91">
        <v>0.3</v>
      </c>
      <c r="H11" s="93"/>
      <c r="L11" s="44" t="s">
        <v>168</v>
      </c>
    </row>
    <row r="12" spans="2:14">
      <c r="B12" s="73" t="s">
        <v>169</v>
      </c>
      <c r="C12" s="81">
        <v>0.2</v>
      </c>
      <c r="D12" s="74">
        <v>0.2</v>
      </c>
      <c r="E12" s="74">
        <v>0.12</v>
      </c>
      <c r="F12" s="74">
        <v>0.4</v>
      </c>
      <c r="G12" s="91">
        <v>0.3</v>
      </c>
      <c r="H12" s="93"/>
      <c r="L12" s="44" t="s">
        <v>52</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57A707-63C6-4003-A6B3-78725C5BEA3E}"/>
</file>

<file path=customXml/itemProps2.xml><?xml version="1.0" encoding="utf-8"?>
<ds:datastoreItem xmlns:ds="http://schemas.openxmlformats.org/officeDocument/2006/customXml" ds:itemID="{64F5D2AA-87D2-4E6C-99B1-6117446402DE}"/>
</file>

<file path=customXml/itemProps3.xml><?xml version="1.0" encoding="utf-8"?>
<ds:datastoreItem xmlns:ds="http://schemas.openxmlformats.org/officeDocument/2006/customXml" ds:itemID="{B2811FB9-2008-4D94-915A-07E393A61E47}"/>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2018-10-30T13:55:43Z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