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1_HW_US90/"/>
    </mc:Choice>
  </mc:AlternateContent>
  <xr:revisionPtr revIDLastSave="26" documentId="8_{E682107A-2CD3-4B88-92ED-54C655021185}" xr6:coauthVersionLast="40" xr6:coauthVersionMax="40" xr10:uidLastSave="{3F71187A-E528-4498-8B6B-268600569CC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10" i="12"/>
  <c r="B9" i="12"/>
  <c r="O5" i="12"/>
  <c r="N5" i="12"/>
  <c r="O6" i="12"/>
  <c r="N6" i="12"/>
  <c r="O7" i="12"/>
  <c r="N7" i="12"/>
  <c r="O8" i="12"/>
  <c r="N8" i="12"/>
  <c r="O9" i="12"/>
  <c r="N9" i="12"/>
  <c r="O10" i="12"/>
  <c r="N10" i="12"/>
  <c r="O11" i="12"/>
  <c r="N11" i="12"/>
  <c r="O12" i="12"/>
  <c r="N12" i="12"/>
  <c r="O13" i="12"/>
  <c r="N13" i="12"/>
  <c r="O14" i="12"/>
  <c r="N14"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28" i="12"/>
  <c r="O20" i="12"/>
  <c r="O29" i="12"/>
  <c r="O21" i="12"/>
  <c r="O16" i="12"/>
  <c r="O27" i="12"/>
  <c r="O25" i="12"/>
  <c r="O26" i="12"/>
  <c r="O18" i="12"/>
  <c r="O19" i="12"/>
  <c r="O22" i="12"/>
  <c r="O23" i="12"/>
  <c r="B15" i="12"/>
  <c r="M5" i="12"/>
  <c r="S5" i="12"/>
  <c r="P5" i="12"/>
  <c r="Q5" i="12"/>
  <c r="R5" i="12"/>
  <c r="P6" i="12"/>
  <c r="Q6" i="12"/>
  <c r="R6"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E4" i="12"/>
  <c r="E5" i="12"/>
  <c r="E6" i="12"/>
  <c r="N15" i="12"/>
  <c r="N16" i="12"/>
  <c r="N17" i="12"/>
  <c r="N18" i="12"/>
  <c r="N19" i="12"/>
  <c r="N20" i="12"/>
  <c r="N21" i="12"/>
  <c r="N22" i="12"/>
  <c r="N23" i="12"/>
  <c r="N24" i="12"/>
  <c r="N25" i="12"/>
  <c r="N26" i="12"/>
  <c r="N27" i="12"/>
  <c r="N28" i="12"/>
  <c r="N29" i="12"/>
  <c r="N30" i="12"/>
  <c r="N31" i="12"/>
  <c r="N32" i="12"/>
  <c r="N33" i="12"/>
  <c r="N34" i="12"/>
  <c r="N35" i="12"/>
  <c r="N36" i="12"/>
  <c r="R7" i="12"/>
  <c r="T6" i="12"/>
  <c r="U6" i="12"/>
  <c r="T5" i="12"/>
  <c r="U5" i="12"/>
  <c r="T7" i="12"/>
  <c r="U7" i="12"/>
  <c r="R8" i="12"/>
  <c r="T8" i="12"/>
  <c r="U8" i="12"/>
  <c r="R9" i="12"/>
  <c r="T9" i="12"/>
  <c r="U9" i="12"/>
  <c r="R10" i="12"/>
  <c r="T10" i="12"/>
  <c r="U10" i="12"/>
  <c r="R11" i="12"/>
  <c r="T11" i="12"/>
  <c r="U11" i="12"/>
  <c r="R12" i="12"/>
  <c r="T12" i="12"/>
  <c r="U12" i="12"/>
  <c r="R13" i="12"/>
  <c r="T13" i="12"/>
  <c r="U13" i="12"/>
  <c r="E20" i="12"/>
  <c r="G26" i="12"/>
  <c r="E17" i="12"/>
  <c r="D26" i="12"/>
  <c r="E19" i="12"/>
  <c r="F26" i="12"/>
  <c r="E22" i="12"/>
  <c r="I26" i="12"/>
  <c r="E21" i="12"/>
  <c r="H26" i="12"/>
  <c r="E18" i="12"/>
  <c r="E26" i="12"/>
  <c r="E32" i="12"/>
  <c r="E29" i="12"/>
  <c r="E27" i="12"/>
  <c r="E31" i="12"/>
  <c r="E28" i="12"/>
  <c r="E33" i="12"/>
  <c r="E30" i="12"/>
  <c r="H27" i="12"/>
  <c r="H29" i="12"/>
  <c r="H28" i="12"/>
  <c r="H30" i="12"/>
  <c r="H33" i="12"/>
  <c r="H31" i="12"/>
  <c r="H32" i="12"/>
  <c r="F30" i="12"/>
  <c r="F32" i="12"/>
  <c r="F33" i="12"/>
  <c r="F28" i="12"/>
  <c r="F29" i="12"/>
  <c r="F31" i="12"/>
  <c r="F27" i="12"/>
  <c r="G32" i="12"/>
  <c r="G33" i="12"/>
  <c r="G27" i="12"/>
  <c r="G31" i="12"/>
  <c r="G28" i="12"/>
  <c r="G30" i="12"/>
  <c r="G29" i="12"/>
  <c r="I27" i="12"/>
  <c r="I33" i="12"/>
  <c r="I28" i="12"/>
  <c r="I30" i="12"/>
  <c r="I32" i="12"/>
  <c r="I29" i="12"/>
  <c r="I31" i="12"/>
  <c r="D28" i="12"/>
  <c r="J28" i="12"/>
  <c r="D30" i="12"/>
  <c r="J30" i="12"/>
  <c r="D27" i="12"/>
  <c r="J27" i="12"/>
  <c r="D29" i="12"/>
  <c r="J29" i="12"/>
  <c r="D31" i="12"/>
  <c r="J31" i="12"/>
  <c r="D32" i="12"/>
  <c r="J32" i="12"/>
  <c r="D33" i="12"/>
  <c r="J33" i="12"/>
  <c r="J5"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<sst xmlns="http://schemas.openxmlformats.org/spreadsheetml/2006/main" count="441" uniqueCount="286">
  <si>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</si>
  <si>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</si>
  <si>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</si>
  <si>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</si>
  <si>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</si>
  <si>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</si>
  <si>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</si>
  <si>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</si>
  <si>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</si>
  <si>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</si>
  <si>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</si>
  <si>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</si>
  <si>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</si>
  <si>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</si>
  <si>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</si>
  <si>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</si>
  <si>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</si>
  <si>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</si>
  <si>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</si>
  <si>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</si>
  <si>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</si>
  <si>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</si>
  <si>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</si>
  <si>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</si>
  <si>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</si>
  <si>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</si>
  <si>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</si>
  <si>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</si>
  <si>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</si>
  <si>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</si>
  <si>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</si>
  <si>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</si>
  <si>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</si>
  <si>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</si>
  <si>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</si>
  <si>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</si>
  <si>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</si>
  <si>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</si>
  <si>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</si>
  <si>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</si>
  <si>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</si>
  <si>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</si>
  <si>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</si>
  <si>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</si>
  <si>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</si>
  <si>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</si>
  <si>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</si>
  <si>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</si>
  <si>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US 90 Widening</t>
  </si>
  <si>
    <t>County</t>
  </si>
  <si>
    <t>Waller</t>
  </si>
  <si>
    <t>Data entered by the sponsors</t>
  </si>
  <si>
    <t>Facility Type</t>
  </si>
  <si>
    <t>Non-Freeway</t>
  </si>
  <si>
    <t>HGAC regional travel demand model data provided by HGAC upon request</t>
  </si>
  <si>
    <t>Street Name:</t>
  </si>
  <si>
    <t>US 90</t>
  </si>
  <si>
    <t>Populated based on selection in cell "C18"</t>
  </si>
  <si>
    <t>Limits (From)</t>
  </si>
  <si>
    <t>FM 2855</t>
  </si>
  <si>
    <t>Benefits calculated by the template</t>
  </si>
  <si>
    <t>Limits (To)</t>
  </si>
  <si>
    <t>FM 1463</t>
  </si>
  <si>
    <t>Length (in Miles)</t>
  </si>
  <si>
    <t>Application ID Number:</t>
  </si>
  <si>
    <t>Sponsor ID Number (CSJ, etc.):</t>
  </si>
  <si>
    <t>0271-09-026</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</si>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</sst>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E13" sqref="E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3.56</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2028</v>
      </c>
      <c r="D17" s="80"/>
    </row>
    <row r="18" spans="2:13">
      <c r="B18" s="3" t="s">
        <v>69</v>
      </c>
      <c r="C18" s="98" t="s">
        <v>70</v>
      </c>
    </row>
    <row r="19" spans="2:13">
      <c r="B19" s="99" t="s">
        <v>71</v>
      </c>
      <c r="C19" s="128">
        <f>VLOOKUP(C18,'CRF Lookup Table'!C3:F84,2, FALSE)</f>
        <v>203</v>
      </c>
      <c r="D19" s="81"/>
    </row>
    <row r="20" spans="2:13">
      <c r="B20" s="99" t="s">
        <v>72</v>
      </c>
      <c r="C20" s="129">
        <f>VLOOKUP(C18,'CRF Lookup Table'!C3:F84,3, FALSE)</f>
        <v>0.4</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5324</v>
      </c>
      <c r="D25" s="82"/>
      <c r="I25" s="41"/>
    </row>
    <row r="26" spans="2:13">
      <c r="I26" s="41"/>
    </row>
    <row r="27" spans="2:13">
      <c r="B27" s="73" t="s">
        <v>76</v>
      </c>
      <c r="C27" s="74">
        <v>2492</v>
      </c>
      <c r="D27" s="82"/>
      <c r="I27" s="41"/>
    </row>
    <row r="28" spans="2:13">
      <c r="B28" s="73" t="s">
        <v>77</v>
      </c>
      <c r="C28" s="74">
        <v>11209</v>
      </c>
      <c r="D28" s="82"/>
      <c r="I28" s="41"/>
    </row>
    <row r="29" spans="2:13">
      <c r="B29" s="73" t="s">
        <v>78</v>
      </c>
      <c r="C29" s="75">
        <v>3358</v>
      </c>
      <c r="D29" s="58"/>
      <c r="I29" s="41"/>
    </row>
    <row r="30" spans="2:13">
      <c r="B30" s="73" t="s">
        <v>79</v>
      </c>
      <c r="C30" s="75">
        <v>11209</v>
      </c>
      <c r="D30" s="58"/>
      <c r="I30" s="41"/>
    </row>
    <row r="31" spans="2:13">
      <c r="B31" s="73" t="s">
        <v>80</v>
      </c>
      <c r="C31" s="74">
        <v>9878</v>
      </c>
      <c r="D31" s="82"/>
      <c r="H31" s="59"/>
    </row>
    <row r="32" spans="2:13">
      <c r="B32" s="73" t="s">
        <v>81</v>
      </c>
      <c r="C32" s="74">
        <v>21687</v>
      </c>
      <c r="D32" s="82"/>
    </row>
    <row r="34" spans="2:9" ht="18.75">
      <c r="B34" s="43" t="s">
        <v>82</v>
      </c>
      <c r="C34" s="44"/>
      <c r="D34" s="44"/>
      <c r="E34" s="44"/>
      <c r="F34" s="44"/>
      <c r="I34" s="59"/>
    </row>
    <row r="36" spans="2:9">
      <c r="B36" s="9" t="s">
        <v>83</v>
      </c>
    </row>
    <row r="37" spans="2:9">
      <c r="B37" s="8" t="s">
        <v>84</v>
      </c>
      <c r="C37" s="34">
        <f>Calculations!U37</f>
        <v>24984.482337451904</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8434.4923782876322</v>
      </c>
      <c r="G4" s="136" t="s">
        <v>95</v>
      </c>
      <c r="H4" s="136"/>
      <c r="I4" s="136"/>
      <c r="J4" s="136"/>
      <c r="L4" s="106"/>
      <c r="M4" s="107">
        <v>2018</v>
      </c>
      <c r="N4" s="108">
        <f>_2018_Volume_ADT</f>
        <v>5324</v>
      </c>
      <c r="O4" s="109" t="s">
        <v>96</v>
      </c>
      <c r="P4" s="110">
        <f>MIN(B12,1)</f>
        <v>0.2223213489160496</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30026.792866703971</v>
      </c>
      <c r="G5" s="137" t="s">
        <v>99</v>
      </c>
      <c r="H5" s="137"/>
      <c r="I5" s="137"/>
      <c r="J5" s="111">
        <f>SUMPRODUCT(Possible_Crash_Reductions,'Value of Statistical Life'!E5:E11)</f>
        <v>2790539.7133066114</v>
      </c>
      <c r="L5" s="106"/>
      <c r="M5" s="11">
        <f t="shared" ref="M5:M36" si="1">M4+1</f>
        <v>2019</v>
      </c>
      <c r="N5" s="112">
        <f>N4+(N4*O5)</f>
        <v>5555.7502135821705</v>
      </c>
      <c r="O5" s="113">
        <f t="shared" ref="O5:O11" si="2">IF(ISERROR(_2025_2045_Demand_Growth),_2018_2045_Demand_Growth,_2018_2025_Demand_Growth)</f>
        <v>4.3529341394096699E-2</v>
      </c>
      <c r="P5" s="114">
        <f t="shared" ref="P5:P11" si="3">P4*(1+IFERROR(_2018_2025_V_C_Growth,_2018_2045_V_C_Growth))</f>
        <v>0.23199885081221241</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7806966.1453430327</v>
      </c>
      <c r="L6" s="106"/>
      <c r="M6" s="107">
        <f t="shared" si="1"/>
        <v>2020</v>
      </c>
      <c r="N6" s="112">
        <f t="shared" ref="N6:N36" si="6">N5+(N5*O6)</f>
        <v>5797.5883613295146</v>
      </c>
      <c r="O6" s="113">
        <f t="shared" si="2"/>
        <v>4.3529341394096699E-2</v>
      </c>
      <c r="P6" s="114">
        <f t="shared" si="3"/>
        <v>0.24209760799225533</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6049.9535643722684</v>
      </c>
      <c r="O7" s="113">
        <f t="shared" si="2"/>
        <v>4.3529341394096699E-2</v>
      </c>
      <c r="P7" s="114">
        <f t="shared" si="3"/>
        <v>0.25263595742124439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6313.304058494261</v>
      </c>
      <c r="O8" s="113">
        <f t="shared" si="2"/>
        <v>4.3529341394096699E-2</v>
      </c>
      <c r="P8" s="114">
        <f t="shared" si="3"/>
        <v>0.26363303426025819</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4.3529341394096699E-2</v>
      </c>
      <c r="D9" s="39" t="s">
        <v>104</v>
      </c>
      <c r="E9" s="119">
        <f>IF('Inputs &amp; Outputs'!$C$8='CRASH RATES'!$D$3, VLOOKUP('Inputs &amp; Outputs'!$C$7,'CRASH RATES'!$C$14:$J$21,3,FALSE), VLOOKUP('Inputs &amp; Outputs'!$C$7,'CRASH RATES'!$C$28:$J$35,3,FALSE))</f>
        <v>7.1772175901711934</v>
      </c>
      <c r="F9" s="85"/>
      <c r="L9" s="106"/>
      <c r="M9" s="11">
        <f t="shared" si="1"/>
        <v>2023</v>
      </c>
      <c r="N9" s="112">
        <f t="shared" si="6"/>
        <v>6588.1180261811942</v>
      </c>
      <c r="O9" s="113">
        <f t="shared" si="2"/>
        <v>4.3529341394096699E-2</v>
      </c>
      <c r="P9" s="114">
        <f t="shared" si="3"/>
        <v>0.27510880661133458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5.5429956037224004E-2</v>
      </c>
      <c r="D10" s="39" t="s">
        <v>106</v>
      </c>
      <c r="E10" s="119">
        <f>IF('Inputs &amp; Outputs'!$C$8='CRASH RATES'!$D$3, VLOOKUP('Inputs &amp; Outputs'!$C$7,'CRASH RATES'!$C$14:$J$21,4,FALSE), VLOOKUP('Inputs &amp; Outputs'!$C$7,'CRASH RATES'!$C$28:$J$35,4,FALSE))</f>
        <v>11.124687264765349</v>
      </c>
      <c r="F10" s="85"/>
      <c r="L10" s="106"/>
      <c r="M10" s="107">
        <f t="shared" si="1"/>
        <v>2024</v>
      </c>
      <c r="N10" s="112">
        <f t="shared" si="6"/>
        <v>6874.8944648874376</v>
      </c>
      <c r="O10" s="113">
        <f t="shared" si="2"/>
        <v>4.3529341394096699E-2</v>
      </c>
      <c r="P10" s="114">
        <f t="shared" si="3"/>
        <v>0.28708411177484189</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5.2331641677060281E-2</v>
      </c>
      <c r="D11" s="39" t="s">
        <v>108</v>
      </c>
      <c r="E11" s="119">
        <f>IF('Inputs &amp; Outputs'!$C$8='CRASH RATES'!$D$3, VLOOKUP('Inputs &amp; Outputs'!$C$7,'CRASH RATES'!$C$14:$J$21,5,FALSE), VLOOKUP('Inputs &amp; Outputs'!$C$7,'CRASH RATES'!$C$28:$J$35,5,FALSE))</f>
        <v>37.680392348398769</v>
      </c>
      <c r="F11" s="85"/>
      <c r="L11" s="106"/>
      <c r="M11" s="11">
        <f t="shared" si="1"/>
        <v>2025</v>
      </c>
      <c r="N11" s="112">
        <f t="shared" si="6"/>
        <v>7174.154093097909</v>
      </c>
      <c r="O11" s="113">
        <f t="shared" si="2"/>
        <v>4.3529341394096699E-2</v>
      </c>
      <c r="P11" s="114">
        <f t="shared" si="3"/>
        <v>0.29958069408511001</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0.2223213489160496</v>
      </c>
      <c r="D12" s="39" t="s">
        <v>110</v>
      </c>
      <c r="E12" s="119">
        <f>IF('Inputs &amp; Outputs'!$C$8='CRASH RATES'!$D$3, VLOOKUP('Inputs &amp; Outputs'!$C$7,'CRASH RATES'!$C$14:$J$21,6,FALSE), VLOOKUP('Inputs &amp; Outputs'!$C$7,'CRASH RATES'!$C$28:$J$35,6,FALSE))</f>
        <v>58.135462480386664</v>
      </c>
      <c r="F12" s="85"/>
      <c r="L12" s="106"/>
      <c r="M12" s="107">
        <f t="shared" si="1"/>
        <v>2026</v>
      </c>
      <c r="N12" s="112">
        <f t="shared" si="6"/>
        <v>7571.8171390825964</v>
      </c>
      <c r="O12" s="113">
        <f t="shared" ref="O12:O36" si="7">IFERROR(_2025_2045_Demand_Growth,_2018_2045_Demand_Growth)</f>
        <v>5.5429956037224004E-2</v>
      </c>
      <c r="P12" s="114">
        <f t="shared" ref="P12:P36" si="8">P11*(1+IFERROR(_2025_2040_V_C_Growth,_2018_2045_V_C_Growth))</f>
        <v>0.30592263310340312</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75">
      <c r="A13" s="39" t="s">
        <v>111</v>
      </c>
      <c r="B13" s="120">
        <f>_2025_Peak_Period_Volume/_2025_Peak_Period_Capacity</f>
        <v>0.29958069408511018</v>
      </c>
      <c r="D13" s="39" t="s">
        <v>112</v>
      </c>
      <c r="E13" s="119">
        <f>IF('Inputs &amp; Outputs'!$C$8='CRASH RATES'!$D$3, VLOOKUP('Inputs &amp; Outputs'!$C$7,'CRASH RATES'!$C$14:$J$21,7,FALSE), VLOOKUP('Inputs &amp; Outputs'!$C$7,'CRASH RATES'!$C$28:$J$35,7,FALSE))</f>
        <v>454.67673433734507</v>
      </c>
      <c r="F13" s="85"/>
      <c r="L13" s="106"/>
      <c r="M13" s="11">
        <f t="shared" si="1"/>
        <v>2027</v>
      </c>
      <c r="N13" s="112">
        <f t="shared" si="6"/>
        <v>7991.5226302238443</v>
      </c>
      <c r="O13" s="113">
        <f t="shared" si="7"/>
        <v>5.5429956037224004E-2</v>
      </c>
      <c r="P13" s="114">
        <f t="shared" si="8"/>
        <v>0.31239882706971472</v>
      </c>
      <c r="Q13" s="115">
        <f t="shared" si="4"/>
        <v>1</v>
      </c>
      <c r="R13" s="30">
        <f>IF(M13=Year_Open_to_Traffic?,Calculations!$J$5,Calculations!R12+(Calculations!R12*Calculations!O13*Q13))</f>
        <v>0</v>
      </c>
      <c r="S13" s="45">
        <f t="shared" si="0"/>
        <v>0</v>
      </c>
      <c r="T13" s="30">
        <f t="shared" si="5"/>
        <v>0</v>
      </c>
      <c r="U13" s="31">
        <f>T13/(1+Real_Discount_Rate)^(Calculations!M13-'Assumed Values'!$C$5)</f>
        <v>0</v>
      </c>
    </row>
    <row r="14" spans="1:21" ht="15.75">
      <c r="A14" s="39" t="s">
        <v>113</v>
      </c>
      <c r="B14" s="120">
        <f>_2045_Peak_Period_Volume/_2045_Peak_Period_Capacity</f>
        <v>0.45548024161940331</v>
      </c>
      <c r="D14" s="39" t="s">
        <v>114</v>
      </c>
      <c r="E14" s="119">
        <f>IF('Inputs &amp; Outputs'!$C$8='CRASH RATES'!$D$3, VLOOKUP('Inputs &amp; Outputs'!$C$7,'CRASH RATES'!$C$14:$J$21,8,FALSE), VLOOKUP('Inputs &amp; Outputs'!$C$7,'CRASH RATES'!$C$28:$J$35,8,FALSE))</f>
        <v>26.555705083633416</v>
      </c>
      <c r="F14" s="85"/>
      <c r="L14" s="106"/>
      <c r="M14" s="107">
        <f>M13+1</f>
        <v>2028</v>
      </c>
      <c r="N14" s="112">
        <f t="shared" si="6"/>
        <v>8434.4923782876322</v>
      </c>
      <c r="O14" s="113">
        <f t="shared" si="7"/>
        <v>5.5429956037224004E-2</v>
      </c>
      <c r="P14" s="114">
        <f>P13*(1+IFERROR(_2025_2040_V_C_Growth,_2018_2045_V_C_Growth))</f>
        <v>0.31901211807871266</v>
      </c>
      <c r="Q14" s="115">
        <f t="shared" si="4"/>
        <v>1</v>
      </c>
      <c r="R14" s="30">
        <f>IF(M14=Year_Open_to_Traffic?,Calculations!$J$5,Calculations!R13+(Calculations!R13*Calculations!O14*Q14))</f>
        <v>2790539.7133066114</v>
      </c>
      <c r="S14" s="45">
        <f t="shared" si="0"/>
        <v>1</v>
      </c>
      <c r="T14" s="30">
        <f t="shared" si="5"/>
        <v>2790.5397133066112</v>
      </c>
      <c r="U14" s="31">
        <f>T14/(1+Real_Discount_Rate)^(Calculations!M14-'Assumed Values'!$C$5)</f>
        <v>1418.5688879332342</v>
      </c>
    </row>
    <row r="15" spans="1:21" ht="15.75">
      <c r="A15" s="39" t="s">
        <v>115</v>
      </c>
      <c r="B15" s="118">
        <f>(B13/B12)^(1/(2025-2018))-1</f>
        <v>4.3529341394096699E-2</v>
      </c>
      <c r="L15" s="106"/>
      <c r="M15" s="11">
        <f>M14+1</f>
        <v>2029</v>
      </c>
      <c r="N15" s="112">
        <f t="shared" si="6"/>
        <v>8902.0159200124162</v>
      </c>
      <c r="O15" s="113">
        <f t="shared" si="7"/>
        <v>5.5429956037224004E-2</v>
      </c>
      <c r="P15" s="114">
        <f>P14*(1+IFERROR(_2025_2040_V_C_Growth,_2018_2045_V_C_Growth))</f>
        <v>0.32576540839046064</v>
      </c>
      <c r="Q15" s="115">
        <f t="shared" si="4"/>
        <v>1</v>
      </c>
      <c r="R15" s="30">
        <f>IF(M15=Year_Open_to_Traffic?,Calculations!$J$5,Calculations!R14+(Calculations!R14*Calculations!O15*Q15))</f>
        <v>2945219.2069353247</v>
      </c>
      <c r="S15" s="45">
        <f t="shared" si="0"/>
        <v>1</v>
      </c>
      <c r="T15" s="30">
        <f t="shared" si="5"/>
        <v>2945.2192069353246</v>
      </c>
      <c r="U15" s="31">
        <f>T15/(1+Real_Discount_Rate)^(Calculations!M15-'Assumed Values'!$C$5)</f>
        <v>1399.2524289973337</v>
      </c>
    </row>
    <row r="16" spans="1:21" ht="15.75">
      <c r="A16" s="39" t="s">
        <v>116</v>
      </c>
      <c r="B16" s="118">
        <f>(B14/B13)^(1/(2045-2025))-1</f>
        <v>2.1169384888638287E-2</v>
      </c>
      <c r="D16" s="121" t="s">
        <v>117</v>
      </c>
      <c r="E16" s="57"/>
      <c r="L16" s="106"/>
      <c r="M16" s="107">
        <f t="shared" si="1"/>
        <v>2030</v>
      </c>
      <c r="N16" s="112">
        <f t="shared" si="6"/>
        <v>9395.4542711013728</v>
      </c>
      <c r="O16" s="113">
        <f t="shared" si="7"/>
        <v>5.5429956037224004E-2</v>
      </c>
      <c r="P16" s="114">
        <f t="shared" si="8"/>
        <v>0.33266166170408273</v>
      </c>
      <c r="Q16" s="115">
        <f t="shared" si="4"/>
        <v>1</v>
      </c>
      <c r="R16" s="30">
        <f>IF(M16=Year_Open_to_Traffic?,Calculations!$J$5,Calculations!R15+(Calculations!R15*Calculations!O16*Q16))</f>
        <v>3108472.5780957374</v>
      </c>
      <c r="S16" s="45">
        <f t="shared" si="0"/>
        <v>1</v>
      </c>
      <c r="T16" s="30">
        <f t="shared" si="5"/>
        <v>3108.4725780957374</v>
      </c>
      <c r="U16" s="31">
        <f>T16/(1+Real_Discount_Rate)^(Calculations!M16-'Assumed Values'!$C$5)</f>
        <v>1380.1989996463878</v>
      </c>
    </row>
    <row r="17" spans="1:21" ht="15.75">
      <c r="A17" s="39" t="s">
        <v>118</v>
      </c>
      <c r="B17" s="118">
        <f>(B14/B12)^(1/(2045-2018))-1</f>
        <v>2.6919986503838089E-2</v>
      </c>
      <c r="D17" s="39" t="s">
        <v>119</v>
      </c>
      <c r="E17" s="122">
        <f>($E$6*Death_Rate)/100000000</f>
        <v>0.56032294744227018</v>
      </c>
      <c r="L17" s="106"/>
      <c r="M17" s="11">
        <f t="shared" si="1"/>
        <v>2031</v>
      </c>
      <c r="N17" s="112">
        <f t="shared" si="6"/>
        <v>9916.2438882982697</v>
      </c>
      <c r="O17" s="113">
        <f t="shared" si="7"/>
        <v>5.5429956037224004E-2</v>
      </c>
      <c r="P17" s="114">
        <f t="shared" si="8"/>
        <v>0.33970390445839044</v>
      </c>
      <c r="Q17" s="115">
        <f t="shared" si="4"/>
        <v>1</v>
      </c>
      <c r="R17" s="30">
        <f>IF(M17=Year_Open_to_Traffic?,Calculations!$J$5,Calculations!R16+(Calculations!R16*Calculations!O17*Q17))</f>
        <v>3280775.0764425006</v>
      </c>
      <c r="S17" s="45">
        <f t="shared" si="0"/>
        <v>1</v>
      </c>
      <c r="T17" s="30">
        <f t="shared" si="5"/>
        <v>3280.7750764425004</v>
      </c>
      <c r="U17" s="31">
        <f>T17/(1+Real_Discount_Rate)^(Calculations!M17-'Assumed Values'!$C$5)</f>
        <v>1361.4050182424369</v>
      </c>
    </row>
    <row r="18" spans="1:21" ht="15.75">
      <c r="D18" s="39" t="s">
        <v>120</v>
      </c>
      <c r="E18" s="122">
        <f>($E$6*Incap_Injry_Rate)/100000000</f>
        <v>0.8685005685355186</v>
      </c>
      <c r="L18" s="106"/>
      <c r="M18" s="107">
        <f t="shared" si="1"/>
        <v>2032</v>
      </c>
      <c r="N18" s="112">
        <f t="shared" si="6"/>
        <v>10465.900851081034</v>
      </c>
      <c r="O18" s="113">
        <f t="shared" si="7"/>
        <v>5.5429956037224004E-2</v>
      </c>
      <c r="P18" s="114">
        <f t="shared" si="8"/>
        <v>0.34689522716004334</v>
      </c>
      <c r="Q18" s="115">
        <f t="shared" si="4"/>
        <v>1</v>
      </c>
      <c r="R18" s="30">
        <f>IF(M18=Year_Open_to_Traffic?,Calculations!$J$5,Calculations!R17+(Calculations!R17*Calculations!O18*Q18))</f>
        <v>3462628.2946977285</v>
      </c>
      <c r="S18" s="45">
        <f t="shared" si="0"/>
        <v>1</v>
      </c>
      <c r="T18" s="30">
        <f t="shared" si="5"/>
        <v>3462.6282946977285</v>
      </c>
      <c r="U18" s="31">
        <f>T18/(1+Real_Discount_Rate)^(Calculations!M18-'Assumed Values'!$C$5)</f>
        <v>1342.8669519181976</v>
      </c>
    </row>
    <row r="19" spans="1:21" ht="15.75">
      <c r="D19" s="39" t="s">
        <v>121</v>
      </c>
      <c r="E19" s="122">
        <f>($E$6*Nonincap_Injry_Rate)/100000000</f>
        <v>2.9416954740719183</v>
      </c>
      <c r="L19" s="106"/>
      <c r="M19" s="11">
        <f t="shared" si="1"/>
        <v>2033</v>
      </c>
      <c r="N19" s="112">
        <f t="shared" si="6"/>
        <v>11046.025275146401</v>
      </c>
      <c r="O19" s="113">
        <f t="shared" si="7"/>
        <v>5.5429956037224004E-2</v>
      </c>
      <c r="P19" s="114">
        <f t="shared" si="8"/>
        <v>0.35423878573982592</v>
      </c>
      <c r="Q19" s="115">
        <f t="shared" si="4"/>
        <v>1</v>
      </c>
      <c r="R19" s="30">
        <f>IF(M19=Year_Open_to_Traffic?,Calculations!$J$5,Calculations!R18+(Calculations!R18*Calculations!O19*Q19))</f>
        <v>3654561.6288460717</v>
      </c>
      <c r="S19" s="45">
        <f t="shared" si="0"/>
        <v>1</v>
      </c>
      <c r="T19" s="30">
        <f t="shared" si="5"/>
        <v>3654.5616288460715</v>
      </c>
      <c r="U19" s="31">
        <f>T19/(1+Real_Discount_Rate)^(Calculations!M19-'Assumed Values'!$C$5)</f>
        <v>1324.5813159129573</v>
      </c>
    </row>
    <row r="20" spans="1:21" ht="15.75">
      <c r="D20" s="39" t="s">
        <v>122</v>
      </c>
      <c r="E20" s="122">
        <f>($E$6*Poss_Injry_Rate/100000000)</f>
        <v>4.5386158742823879</v>
      </c>
      <c r="L20" s="106"/>
      <c r="M20" s="107">
        <f t="shared" si="1"/>
        <v>2034</v>
      </c>
      <c r="N20" s="112">
        <f t="shared" si="6"/>
        <v>11658.305970533831</v>
      </c>
      <c r="O20" s="113">
        <f t="shared" si="7"/>
        <v>5.5429956037224004E-2</v>
      </c>
      <c r="P20" s="114">
        <f t="shared" si="8"/>
        <v>0.36173780293763619</v>
      </c>
      <c r="Q20" s="115">
        <f t="shared" si="4"/>
        <v>1</v>
      </c>
      <c r="R20" s="30">
        <f>IF(M20=Year_Open_to_Traffic?,Calculations!$J$5,Calculations!R19+(Calculations!R19*Calculations!O20*Q20))</f>
        <v>3857133.8192683351</v>
      </c>
      <c r="S20" s="45">
        <f t="shared" si="0"/>
        <v>1</v>
      </c>
      <c r="T20" s="30">
        <f t="shared" si="5"/>
        <v>3857.1338192683352</v>
      </c>
      <c r="U20" s="31">
        <f>T20/(1+Real_Discount_Rate)^(Calculations!M20-'Assumed Values'!$C$5)</f>
        <v>1306.5446729175148</v>
      </c>
    </row>
    <row r="21" spans="1:21" ht="15.75">
      <c r="D21" s="39" t="s">
        <v>123</v>
      </c>
      <c r="E21" s="122">
        <f>($E$6*Non_Injry_Rate)/100000000</f>
        <v>35.496458720467814</v>
      </c>
      <c r="L21" s="106"/>
      <c r="M21" s="11">
        <f>M20+1</f>
        <v>2035</v>
      </c>
      <c r="N21" s="112">
        <f t="shared" si="6"/>
        <v>12304.525357949027</v>
      </c>
      <c r="O21" s="113">
        <f t="shared" si="7"/>
        <v>5.5429956037224004E-2</v>
      </c>
      <c r="P21" s="114">
        <f>P20*(1+IFERROR(_2025_2040_V_C_Growth,_2018_2045_V_C_Growth))</f>
        <v>0.36939556971679338</v>
      </c>
      <c r="Q21" s="115">
        <f t="shared" si="4"/>
        <v>1</v>
      </c>
      <c r="R21" s="30">
        <f>IF(M21=Year_Open_to_Traffic?,Calculations!$J$5,Calculations!R20+(Calculations!R20*Calculations!O21*Q21))</f>
        <v>4070934.5773000689</v>
      </c>
      <c r="S21" s="45">
        <f t="shared" si="0"/>
        <v>1</v>
      </c>
      <c r="T21" s="30">
        <f t="shared" si="5"/>
        <v>4070.9345773000691</v>
      </c>
      <c r="U21" s="31">
        <f>T21/(1+Real_Discount_Rate)^(Calculations!M21-'Assumed Values'!$C$5)</f>
        <v>1288.7536324280393</v>
      </c>
    </row>
    <row r="22" spans="1:21" ht="15.75">
      <c r="D22" s="39" t="s">
        <v>124</v>
      </c>
      <c r="E22" s="122">
        <f>($E$6*Unkn_Injry_Rate)/100000000</f>
        <v>2.0731949055363996</v>
      </c>
      <c r="L22" s="106"/>
      <c r="M22" s="107">
        <f>M21+1</f>
        <v>2036</v>
      </c>
      <c r="N22" s="112">
        <f t="shared" si="6"/>
        <v>12986.56465759905</v>
      </c>
      <c r="O22" s="113">
        <f t="shared" si="7"/>
        <v>5.5429956037224004E-2</v>
      </c>
      <c r="P22" s="114">
        <f t="shared" si="8"/>
        <v>0.377215446708286</v>
      </c>
      <c r="Q22" s="115">
        <f t="shared" si="4"/>
        <v>1</v>
      </c>
      <c r="R22" s="30">
        <f>IF(M22=Year_Open_to_Traffic?,Calculations!$J$5,Calculations!R21+(Calculations!R21*Calculations!O22*Q22))</f>
        <v>4296586.3019502265</v>
      </c>
      <c r="S22" s="45">
        <f t="shared" si="0"/>
        <v>1</v>
      </c>
      <c r="T22" s="30">
        <f t="shared" si="5"/>
        <v>4296.5863019502267</v>
      </c>
      <c r="U22" s="31">
        <f>T22/(1+Real_Discount_Rate)^(Calculations!M22-'Assumed Values'!$C$5)</f>
        <v>1271.2048501087272</v>
      </c>
    </row>
    <row r="23" spans="1:21" ht="15.75">
      <c r="L23" s="106"/>
      <c r="M23" s="11">
        <f t="shared" si="1"/>
        <v>2037</v>
      </c>
      <c r="N23" s="112">
        <f t="shared" si="6"/>
        <v>13706.409365644333</v>
      </c>
      <c r="O23" s="113">
        <f t="shared" si="7"/>
        <v>5.5429956037224004E-2</v>
      </c>
      <c r="P23" s="114">
        <f t="shared" si="8"/>
        <v>0.38520086568559331</v>
      </c>
      <c r="Q23" s="115">
        <f t="shared" si="4"/>
        <v>1</v>
      </c>
      <c r="R23" s="30">
        <f>IF(M23=Year_Open_to_Traffic?,Calculations!$J$5,Calculations!R22+(Calculations!R22*Calculations!O23*Q23))</f>
        <v>4534745.8917774661</v>
      </c>
      <c r="S23" s="45">
        <f t="shared" si="0"/>
        <v>1</v>
      </c>
      <c r="T23" s="30">
        <f t="shared" si="5"/>
        <v>4534.7458917774657</v>
      </c>
      <c r="U23" s="31">
        <f>T23/(1+Real_Discount_Rate)^(Calculations!M23-'Assumed Values'!$C$5)</f>
        <v>1253.8950271631397</v>
      </c>
    </row>
    <row r="24" spans="1:21" ht="15.75">
      <c r="L24" s="106"/>
      <c r="M24" s="107">
        <f t="shared" si="1"/>
        <v>2038</v>
      </c>
      <c r="N24" s="112">
        <f t="shared" si="6"/>
        <v>14466.155034210193</v>
      </c>
      <c r="O24" s="113">
        <f t="shared" si="7"/>
        <v>5.5429956037224004E-2</v>
      </c>
      <c r="P24" s="114">
        <f t="shared" si="8"/>
        <v>0.39335533107072829</v>
      </c>
      <c r="Q24" s="115">
        <f t="shared" si="4"/>
        <v>1</v>
      </c>
      <c r="R24" s="30">
        <f>IF(M24=Year_Open_to_Traffic?,Calculations!$J$5,Calculations!R23+(Calculations!R23*Calculations!O24*Q24))</f>
        <v>4786106.6571986731</v>
      </c>
      <c r="S24" s="45">
        <f t="shared" si="0"/>
        <v>1</v>
      </c>
      <c r="T24" s="30">
        <f t="shared" si="5"/>
        <v>4786.106657198673</v>
      </c>
      <c r="U24" s="31">
        <f>T24/(1+Real_Discount_Rate)^(Calculations!M24-'Assumed Values'!$C$5)</f>
        <v>1236.8209097140996</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15268.013371784131</v>
      </c>
      <c r="O25" s="113">
        <f t="shared" si="7"/>
        <v>5.5429956037224004E-2</v>
      </c>
      <c r="P25" s="114">
        <f t="shared" si="8"/>
        <v>0.40168242147216227</v>
      </c>
      <c r="Q25" s="115">
        <f t="shared" si="4"/>
        <v>1</v>
      </c>
      <c r="R25" s="30">
        <f>IF(M25=Year_Open_to_Traffic?,Calculations!$J$5,Calculations!R24+(Calculations!R24*Calculations!O25*Q25))</f>
        <v>5051400.3387966603</v>
      </c>
      <c r="S25" s="45">
        <f t="shared" si="0"/>
        <v>1</v>
      </c>
      <c r="T25" s="30">
        <f t="shared" si="5"/>
        <v>5051.4003387966604</v>
      </c>
      <c r="U25" s="31">
        <f>T25/(1+Real_Discount_Rate)^(Calculations!M25-'Assumed Values'!$C$5)</f>
        <v>1219.9792881920293</v>
      </c>
    </row>
    <row r="26" spans="1:21" ht="15.75">
      <c r="A26" s="134"/>
      <c r="B26" s="134"/>
      <c r="D26" s="123">
        <f>Calculations!E17</f>
        <v>0.56032294744227018</v>
      </c>
      <c r="E26" s="123">
        <f>Calculations!E18</f>
        <v>0.8685005685355186</v>
      </c>
      <c r="F26" s="123">
        <f>Calculations!E19</f>
        <v>2.9416954740719183</v>
      </c>
      <c r="G26" s="123">
        <f>Calculations!E20</f>
        <v>4.5386158742823879</v>
      </c>
      <c r="H26" s="123">
        <f>Calculations!E21</f>
        <v>35.496458720467814</v>
      </c>
      <c r="I26" s="123">
        <f>Calculations!E22</f>
        <v>2.0731949055363996</v>
      </c>
      <c r="J26" s="135"/>
      <c r="L26" s="106"/>
      <c r="M26" s="107">
        <f t="shared" si="1"/>
        <v>2040</v>
      </c>
      <c r="N26" s="112">
        <f t="shared" si="6"/>
        <v>16114.318681757873</v>
      </c>
      <c r="O26" s="113">
        <f t="shared" si="7"/>
        <v>5.5429956037224004E-2</v>
      </c>
      <c r="P26" s="114">
        <f t="shared" si="8"/>
        <v>0.41018579125530669</v>
      </c>
      <c r="Q26" s="115">
        <f t="shared" si="4"/>
        <v>1</v>
      </c>
      <c r="R26" s="30">
        <f>IF(M26=Year_Open_to_Traffic?,Calculations!$J$5,Calculations!R25+(Calculations!R25*Calculations!O26*Q26))</f>
        <v>5331399.2375025777</v>
      </c>
      <c r="S26" s="45">
        <f t="shared" si="0"/>
        <v>1</v>
      </c>
      <c r="T26" s="30">
        <f t="shared" si="5"/>
        <v>5331.3992375025773</v>
      </c>
      <c r="U26" s="31">
        <f>T26/(1+Real_Discount_Rate)^(Calculations!M26-'Assumed Values'!$C$5)</f>
        <v>1203.3669967316237</v>
      </c>
    </row>
    <row r="27" spans="1:21" ht="15.75">
      <c r="A27" s="38" t="s">
        <v>127</v>
      </c>
      <c r="B27" s="39" t="s">
        <v>128</v>
      </c>
      <c r="D27" s="124">
        <f>D$26*'Value of Statistical Life'!D17*Appropriate_Crash_Reduction_Factor</f>
        <v>0</v>
      </c>
      <c r="E27" s="124">
        <f>E$26*'Value of Statistical Life'!E17*Appropriate_Crash_Reduction_Factor</f>
        <v>1.194014581622631E-2</v>
      </c>
      <c r="F27" s="124">
        <f>F$26*'Value of Statistical Life'!F17*Appropriate_Crash_Reduction_Factor</f>
        <v>9.8217328488313216E-2</v>
      </c>
      <c r="G27" s="124">
        <f>G$26*'Value of Statistical Life'!G17*Appropriate_Crash_Reduction_Factor</f>
        <v>0.42548616098222536</v>
      </c>
      <c r="H27" s="124">
        <f>H$26*'Value of Statistical Life'!H17*Appropriate_Crash_Reduction_Factor</f>
        <v>13.138517244959075</v>
      </c>
      <c r="I27" s="124">
        <f>I$26*'Value of Statistical Life'!I17*Appropriate_Crash_Reduction_Factor</f>
        <v>0.36219544277683119</v>
      </c>
      <c r="J27" s="124">
        <f t="shared" ref="J27:J33" si="9">SUM(D27:I27)</f>
        <v>14.036356323022671</v>
      </c>
      <c r="K27" s="69"/>
      <c r="L27" s="106"/>
      <c r="M27" s="11">
        <f t="shared" si="1"/>
        <v>2041</v>
      </c>
      <c r="N27" s="112">
        <f t="shared" si="6"/>
        <v>17007.53465785753</v>
      </c>
      <c r="O27" s="113">
        <f t="shared" si="7"/>
        <v>5.5429956037224004E-2</v>
      </c>
      <c r="P27" s="114">
        <f t="shared" si="8"/>
        <v>0.41886917214624092</v>
      </c>
      <c r="Q27" s="115">
        <f t="shared" si="4"/>
        <v>1</v>
      </c>
      <c r="R27" s="30">
        <f>IF(M27=Year_Open_to_Traffic?,Calculations!$J$5,Calculations!R26+(Calculations!R26*Calculations!O27*Q27))</f>
        <v>5626918.4628542354</v>
      </c>
      <c r="S27" s="45">
        <f t="shared" si="0"/>
        <v>1</v>
      </c>
      <c r="T27" s="30">
        <f t="shared" si="5"/>
        <v>5626.9184628542353</v>
      </c>
      <c r="U27" s="31">
        <f>T27/(1+Real_Discount_Rate)^(Calculations!M27-'Assumed Values'!$C$5)</f>
        <v>1186.9809125767326</v>
      </c>
    </row>
    <row r="28" spans="1:21" ht="15.75">
      <c r="A28" s="38" t="s">
        <v>129</v>
      </c>
      <c r="B28" s="39" t="s">
        <v>130</v>
      </c>
      <c r="D28" s="124">
        <f>D$26*'Value of Statistical Life'!D18*Appropriate_Crash_Reduction_Factor</f>
        <v>0</v>
      </c>
      <c r="E28" s="124">
        <f>E$26*'Value of Statistical Life'!E18*Appropriate_Crash_Reduction_Factor</f>
        <v>0.19262995209890391</v>
      </c>
      <c r="F28" s="124">
        <f>F$26*'Value of Statistical Life'!F18*Appropriate_Crash_Reduction_Factor</f>
        <v>0.90419482125643358</v>
      </c>
      <c r="G28" s="124">
        <f>G$26*'Value of Statistical Life'!G18*Appropriate_Crash_Reduction_Factor</f>
        <v>1.251677640273094</v>
      </c>
      <c r="H28" s="124">
        <f>H$26*'Value of Statistical Life'!H18*Appropriate_Crash_Reduction_Factor</f>
        <v>1.0303912037377396</v>
      </c>
      <c r="I28" s="124">
        <f>I$26*'Value of Statistical Life'!I18*Appropriate_Crash_Reduction_Factor</f>
        <v>0.34613232864873517</v>
      </c>
      <c r="J28" s="124">
        <f t="shared" si="9"/>
        <v>3.7250259460149064</v>
      </c>
      <c r="K28" s="69"/>
      <c r="L28" s="106"/>
      <c r="M28" s="107">
        <f t="shared" si="1"/>
        <v>2042</v>
      </c>
      <c r="N28" s="112">
        <f t="shared" si="6"/>
        <v>17950.261556244135</v>
      </c>
      <c r="O28" s="113">
        <f t="shared" si="7"/>
        <v>5.5429956037224004E-2</v>
      </c>
      <c r="P28" s="114">
        <f t="shared" si="8"/>
        <v>0.42773637486938998</v>
      </c>
      <c r="Q28" s="115">
        <f t="shared" si="4"/>
        <v>1</v>
      </c>
      <c r="R28" s="30">
        <f>IF(M28=Year_Open_to_Traffic?,Calculations!$J$5,Calculations!R27+(Calculations!R27*Calculations!O28*Q28))</f>
        <v>5938818.3058752902</v>
      </c>
      <c r="S28" s="45">
        <f t="shared" si="0"/>
        <v>1</v>
      </c>
      <c r="T28" s="30">
        <f t="shared" si="5"/>
        <v>5938.8183058752902</v>
      </c>
      <c r="U28" s="31">
        <f>T28/(1+Real_Discount_Rate)^(Calculations!M28-'Assumed Values'!$C$5)</f>
        <v>1170.8179554933504</v>
      </c>
    </row>
    <row r="29" spans="1:21" ht="15.75">
      <c r="A29" s="38" t="s">
        <v>131</v>
      </c>
      <c r="B29" s="39" t="s">
        <v>132</v>
      </c>
      <c r="D29" s="124">
        <f>D$26*'Value of Statistical Life'!D19*Appropriate_Crash_Reduction_Factor</f>
        <v>0</v>
      </c>
      <c r="E29" s="124">
        <f>E$26*'Value of Statistical Life'!E19*Appropriate_Crash_Reduction_Factor</f>
        <v>7.2634439547762483E-2</v>
      </c>
      <c r="F29" s="124">
        <f>F$26*'Value of Statistical Life'!F19*Appropriate_Crash_Reduction_Factor</f>
        <v>0.12823438910574306</v>
      </c>
      <c r="G29" s="124">
        <f>G$26*'Value of Statistical Life'!G19*Appropriate_Crash_Reduction_Factor</f>
        <v>0.11602517621015496</v>
      </c>
      <c r="H29" s="124">
        <f>H$26*'Value of Statistical Life'!H19*Appropriate_Crash_Reduction_Factor</f>
        <v>2.8113195306610512E-2</v>
      </c>
      <c r="I29" s="124">
        <f>I$26*'Value of Statistical Life'!I19*Appropriate_Crash_Reduction_Factor</f>
        <v>7.3573540807675739E-2</v>
      </c>
      <c r="J29" s="124">
        <f t="shared" si="9"/>
        <v>0.41858074097794673</v>
      </c>
      <c r="K29" s="69"/>
      <c r="L29" s="106"/>
      <c r="M29" s="11">
        <f t="shared" si="1"/>
        <v>2043</v>
      </c>
      <c r="N29" s="112">
        <f t="shared" si="6"/>
        <v>18945.243765163421</v>
      </c>
      <c r="O29" s="113">
        <f t="shared" si="7"/>
        <v>5.5429956037224004E-2</v>
      </c>
      <c r="P29" s="114">
        <f t="shared" si="8"/>
        <v>0.43679129081987095</v>
      </c>
      <c r="Q29" s="115">
        <f t="shared" si="4"/>
        <v>1</v>
      </c>
      <c r="R29" s="30">
        <f>IF(M29=Year_Open_to_Traffic?,Calculations!$J$5,Calculations!R28+(Calculations!R28*Calculations!O29*Q29))</f>
        <v>6268006.7434830191</v>
      </c>
      <c r="S29" s="45">
        <f t="shared" si="0"/>
        <v>1</v>
      </c>
      <c r="T29" s="30">
        <f t="shared" si="5"/>
        <v>6268.0067434830189</v>
      </c>
      <c r="U29" s="31">
        <f>T29/(1+Real_Discount_Rate)^(Calculations!M29-'Assumed Values'!$C$5)</f>
        <v>1154.8750871905975</v>
      </c>
    </row>
    <row r="30" spans="1:21" ht="15.75">
      <c r="A30" s="38" t="s">
        <v>133</v>
      </c>
      <c r="B30" s="39" t="s">
        <v>134</v>
      </c>
      <c r="D30" s="124">
        <f>D$26*'Value of Statistical Life'!D20*Appropriate_Crash_Reduction_Factor</f>
        <v>0</v>
      </c>
      <c r="E30" s="124">
        <f>E$26*'Value of Statistical Life'!E20*Appropriate_Crash_Reduction_Factor</f>
        <v>5.0154170831789129E-2</v>
      </c>
      <c r="F30" s="124">
        <f>F$26*'Value of Statistical Life'!F20*Appropriate_Crash_Reduction_Factor</f>
        <v>3.7547801031053971E-2</v>
      </c>
      <c r="G30" s="124">
        <f>G$26*'Value of Statistical Life'!G20*Appropriate_Crash_Reduction_Factor</f>
        <v>1.9443430405425753E-2</v>
      </c>
      <c r="H30" s="124">
        <f>H$26*'Value of Statistical Life'!H20*Appropriate_Crash_Reduction_Factor</f>
        <v>1.13588667905497E-3</v>
      </c>
      <c r="I30" s="124">
        <f>I$26*'Value of Statistical Life'!I20*Appropriate_Crash_Reduction_Factor</f>
        <v>3.9946319439875345E-2</v>
      </c>
      <c r="J30" s="124">
        <f t="shared" si="9"/>
        <v>0.14822760838719917</v>
      </c>
      <c r="K30" s="69"/>
      <c r="L30" s="106"/>
      <c r="M30" s="11">
        <f t="shared" si="1"/>
        <v>2044</v>
      </c>
      <c r="N30" s="112">
        <f t="shared" si="6"/>
        <v>19995.37779418092</v>
      </c>
      <c r="O30" s="113">
        <f t="shared" si="7"/>
        <v>5.5429956037224004E-2</v>
      </c>
      <c r="P30" s="114">
        <f t="shared" si="8"/>
        <v>0.44603789377124192</v>
      </c>
      <c r="Q30" s="115">
        <f t="shared" si="4"/>
        <v>1</v>
      </c>
      <c r="R30" s="30">
        <f>IF(M30=Year_Open_to_Traffic?,Calculations!$J$5,Calculations!R29+(Calculations!R29*Calculations!O30*Q30))</f>
        <v>6615442.0817153063</v>
      </c>
      <c r="S30" s="45">
        <f t="shared" si="0"/>
        <v>1</v>
      </c>
      <c r="T30" s="30">
        <f t="shared" si="5"/>
        <v>6615.4420817153059</v>
      </c>
      <c r="U30" s="31">
        <f>T30/(1+Real_Discount_Rate)^(Calculations!M30-'Assumed Values'!$C$5)</f>
        <v>1139.1493107495867</v>
      </c>
    </row>
    <row r="31" spans="1:21" ht="15.75">
      <c r="A31" s="38" t="s">
        <v>135</v>
      </c>
      <c r="B31" s="39" t="s">
        <v>136</v>
      </c>
      <c r="D31" s="124">
        <f>D$26*'Value of Statistical Life'!D21*Appropriate_Crash_Reduction_Factor</f>
        <v>0</v>
      </c>
      <c r="E31" s="124">
        <f>E$26*'Value of Statistical Life'!E21*Appropriate_Crash_Reduction_Factor</f>
        <v>1.3847373064730309E-2</v>
      </c>
      <c r="F31" s="124">
        <f>F$26*'Value of Statistical Life'!F21*Appropriate_Crash_Reduction_Factor</f>
        <v>7.2954047756983572E-3</v>
      </c>
      <c r="G31" s="124">
        <f>G$26*'Value of Statistical Life'!G21*Appropriate_Crash_Reduction_Factor</f>
        <v>2.5779338165923967E-3</v>
      </c>
      <c r="H31" s="124">
        <f>H$26*'Value of Statistical Life'!H21*Appropriate_Crash_Reduction_Factor</f>
        <v>0</v>
      </c>
      <c r="I31" s="124">
        <f>I$26*'Value of Statistical Life'!I21*Appropriate_Crash_Reduction_Factor</f>
        <v>5.1166450268638345E-3</v>
      </c>
      <c r="J31" s="124">
        <f t="shared" si="9"/>
        <v>2.8837356683884895E-2</v>
      </c>
      <c r="K31" s="69"/>
      <c r="L31" s="106"/>
      <c r="M31" s="11">
        <f t="shared" si="1"/>
        <v>2045</v>
      </c>
      <c r="N31" s="112">
        <f t="shared" si="6"/>
        <v>21103.720706260054</v>
      </c>
      <c r="O31" s="113">
        <f t="shared" si="7"/>
        <v>5.5429956037224004E-2</v>
      </c>
      <c r="P31" s="114">
        <f t="shared" si="8"/>
        <v>0.45548024161940293</v>
      </c>
      <c r="Q31" s="115">
        <f t="shared" si="4"/>
        <v>1</v>
      </c>
      <c r="R31" s="30">
        <f>IF(M31=Year_Open_to_Traffic?,Calculations!$J$5,Calculations!R30+(Calculations!R30*Calculations!O31*Q31))</f>
        <v>6982135.7454715874</v>
      </c>
      <c r="S31" s="45">
        <f t="shared" si="0"/>
        <v>1</v>
      </c>
      <c r="T31" s="30">
        <f t="shared" si="5"/>
        <v>6982.1357454715871</v>
      </c>
      <c r="U31" s="31">
        <f>T31/(1+Real_Discount_Rate)^(Calculations!M31-'Assumed Values'!$C$5)</f>
        <v>1123.6376700600654</v>
      </c>
    </row>
    <row r="32" spans="1:21" ht="15.75">
      <c r="A32" s="38" t="s">
        <v>137</v>
      </c>
      <c r="B32" s="39" t="s">
        <v>138</v>
      </c>
      <c r="D32" s="124">
        <f>D$26*'Value of Statistical Life'!D22*Appropriate_Crash_Reduction_Factor</f>
        <v>0</v>
      </c>
      <c r="E32" s="124">
        <f>E$26*'Value of Statistical Life'!E22*Appropriate_Crash_Reduction_Factor</f>
        <v>6.1941460547953187E-3</v>
      </c>
      <c r="F32" s="124">
        <f>F$26*'Value of Statistical Life'!F22*Appropriate_Crash_Reduction_Factor</f>
        <v>1.1884449715250552E-3</v>
      </c>
      <c r="G32" s="124">
        <f>G$26*'Value of Statistical Life'!G22*Appropriate_Crash_Reduction_Factor</f>
        <v>2.3600802546268416E-4</v>
      </c>
      <c r="H32" s="124">
        <f>H$26*'Value of Statistical Life'!H22*Appropriate_Crash_Reduction_Factor</f>
        <v>4.2595750464561374E-4</v>
      </c>
      <c r="I32" s="124">
        <f>I$26*'Value of Statistical Life'!I22*Appropriate_Crash_Reduction_Factor</f>
        <v>2.3136855145786217E-3</v>
      </c>
      <c r="J32" s="124">
        <f t="shared" si="9"/>
        <v>1.0358242071007294E-2</v>
      </c>
      <c r="K32" s="69"/>
      <c r="L32" s="106"/>
      <c r="M32" s="11">
        <f t="shared" si="1"/>
        <v>2046</v>
      </c>
      <c r="N32" s="112">
        <f t="shared" si="6"/>
        <v>22273.499017229904</v>
      </c>
      <c r="O32" s="113">
        <f t="shared" si="7"/>
        <v>5.5429956037224004E-2</v>
      </c>
      <c r="P32" s="114">
        <f t="shared" si="8"/>
        <v>0.46512247816341401</v>
      </c>
      <c r="Q32" s="115">
        <f t="shared" si="4"/>
        <v>1</v>
      </c>
      <c r="R32" s="30">
        <f>IF(M32=Year_Open_to_Traffic?,Calculations!$J$5,Calculations!R31+(Calculations!R31*Calculations!O32*Q32))</f>
        <v>7369155.222889008</v>
      </c>
      <c r="S32" s="45">
        <f t="shared" si="0"/>
        <v>1</v>
      </c>
      <c r="T32" s="30">
        <f t="shared" si="5"/>
        <v>7369.1552228890077</v>
      </c>
      <c r="U32" s="31">
        <f>T32/(1+Real_Discount_Rate)^(Calculations!M32-'Assumed Values'!$C$5)</f>
        <v>1108.3372492647327</v>
      </c>
    </row>
    <row r="33" spans="1:21" ht="15.75">
      <c r="A33" s="38" t="s">
        <v>139</v>
      </c>
      <c r="B33" s="39" t="s">
        <v>140</v>
      </c>
      <c r="D33" s="124">
        <f>D$26*'Value of Statistical Life'!D23*Appropriate_Crash_Reduction_Factor</f>
        <v>0.22412917897690809</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0.22412917897690809</v>
      </c>
      <c r="K33" s="69"/>
      <c r="L33" s="106"/>
      <c r="M33" s="11">
        <f t="shared" si="1"/>
        <v>2047</v>
      </c>
      <c r="N33" s="112">
        <f t="shared" si="6"/>
        <v>23508.118088550109</v>
      </c>
      <c r="O33" s="113">
        <f t="shared" si="7"/>
        <v>5.5429956037224004E-2</v>
      </c>
      <c r="P33" s="114">
        <f t="shared" si="8"/>
        <v>0.4749688349240126</v>
      </c>
      <c r="Q33" s="115">
        <f t="shared" si="4"/>
        <v>1</v>
      </c>
      <c r="R33" s="30">
        <f>IF(M33=Year_Open_to_Traffic?,Calculations!$J$5,Calculations!R32+(Calculations!R32*Calculations!O33*Q33))</f>
        <v>7777627.1729252255</v>
      </c>
      <c r="S33" s="45">
        <f t="shared" si="0"/>
        <v>1</v>
      </c>
      <c r="T33" s="30">
        <f t="shared" si="5"/>
        <v>7777.6271729252258</v>
      </c>
      <c r="U33" s="31">
        <f>T33/(1+Real_Discount_Rate)^(Calculations!M33-'Assumed Values'!$C$5)</f>
        <v>1093.2451722111164</v>
      </c>
    </row>
    <row r="34" spans="1:21" ht="15.75">
      <c r="J34" s="125"/>
      <c r="L34" s="106"/>
      <c r="M34" s="11">
        <f t="shared" si="1"/>
        <v>2048</v>
      </c>
      <c r="N34" s="112">
        <f t="shared" si="6"/>
        <v>24811.172040716312</v>
      </c>
      <c r="O34" s="113">
        <f t="shared" si="7"/>
        <v>5.5429956037224004E-2</v>
      </c>
      <c r="P34" s="114">
        <f t="shared" si="8"/>
        <v>0.48502363300062712</v>
      </c>
      <c r="Q34" s="115">
        <f t="shared" si="4"/>
        <v>1</v>
      </c>
      <c r="R34" s="30">
        <f>IF(M34=Year_Open_to_Traffic?,Calculations!$J$5,Calculations!R33+(Calculations!R33*Calculations!O34*Q34))</f>
        <v>8208740.7051943894</v>
      </c>
      <c r="S34" s="45">
        <f t="shared" si="0"/>
        <v>0</v>
      </c>
      <c r="T34" s="30">
        <f t="shared" si="5"/>
        <v>0</v>
      </c>
      <c r="U34" s="31">
        <f>T34/(1+Real_Discount_Rate)^(Calculations!M34-'Assumed Values'!$C$5)</f>
        <v>0</v>
      </c>
    </row>
    <row r="35" spans="1:21" ht="15.75">
      <c r="G35" s="41"/>
      <c r="H35" s="41"/>
      <c r="L35" s="106"/>
      <c r="M35" s="11">
        <f t="shared" si="1"/>
        <v>2049</v>
      </c>
      <c r="N35" s="112">
        <f t="shared" si="6"/>
        <v>26186.454216165217</v>
      </c>
      <c r="O35" s="113">
        <f t="shared" si="7"/>
        <v>5.5429956037224004E-2</v>
      </c>
      <c r="P35" s="114">
        <f t="shared" si="8"/>
        <v>0.49529128496770303</v>
      </c>
      <c r="Q35" s="115">
        <f t="shared" si="4"/>
        <v>1</v>
      </c>
      <c r="R35" s="30">
        <f>IF(M35=Year_Open_to_Traffic?,Calculations!$J$5,Calculations!R34+(Calculations!R34*Calculations!O35*Q35))</f>
        <v>8663750.8416042849</v>
      </c>
      <c r="S35" s="45">
        <f t="shared" si="0"/>
        <v>0</v>
      </c>
      <c r="T35" s="30">
        <f t="shared" si="5"/>
        <v>0</v>
      </c>
      <c r="U35" s="31">
        <f>T35/(1+Real_Discount_Rate)^(Calculations!M35-'Assumed Values'!$C$5)</f>
        <v>0</v>
      </c>
    </row>
    <row r="36" spans="1:21" ht="15.75">
      <c r="G36" s="41"/>
      <c r="H36" s="41"/>
      <c r="L36" s="106"/>
      <c r="M36" s="11">
        <f t="shared" si="1"/>
        <v>2050</v>
      </c>
      <c r="N36" s="112">
        <f t="shared" si="6"/>
        <v>27637.968222138035</v>
      </c>
      <c r="O36" s="113">
        <f t="shared" si="7"/>
        <v>5.5429956037224004E-2</v>
      </c>
      <c r="P36" s="114">
        <f t="shared" si="8"/>
        <v>0.50577629681117253</v>
      </c>
      <c r="Q36" s="115">
        <f t="shared" si="4"/>
        <v>1</v>
      </c>
      <c r="R36" s="30">
        <f>IF(M36=Year_Open_to_Traffic?,Calculations!$J$5,Calculations!R35+(Calculations!R35*Calculations!O36*Q36))</f>
        <v>9143982.1698718723</v>
      </c>
      <c r="S36" s="45">
        <f t="shared" si="0"/>
        <v>0</v>
      </c>
      <c r="T36" s="30">
        <f t="shared" si="5"/>
        <v>0</v>
      </c>
      <c r="U36" s="31">
        <f>T36/(1+Real_Discount_Rate)^(Calculations!M36-'Assumed Values'!$C$5)</f>
        <v>0</v>
      </c>
    </row>
    <row r="37" spans="1:21">
      <c r="M37" s="39"/>
      <c r="N37" s="39"/>
      <c r="O37" s="118"/>
      <c r="P37" s="120"/>
      <c r="Q37" s="39"/>
      <c r="R37" s="39"/>
      <c r="S37" s="39"/>
      <c r="T37" s="39"/>
      <c r="U37" s="31">
        <f>SUM(U4:U36)</f>
        <v>24984.482337451904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177</v>
      </c>
      <c r="Q8" s="86"/>
      <c r="R8" s="85"/>
      <c r="S8" s="85"/>
      <c r="T8" s="85"/>
      <c r="U8" s="85"/>
      <c r="V8" s="85"/>
      <c r="W8" s="85"/>
      <c r="X8" s="85"/>
    </row>
    <row r="9" spans="3:24">
      <c r="C9" t="s">
        <v>178</v>
      </c>
      <c r="Q9" s="86"/>
      <c r="R9" s="85"/>
      <c r="S9" s="85"/>
      <c r="T9" s="85"/>
      <c r="U9" s="85"/>
      <c r="V9" s="85"/>
      <c r="W9" s="85"/>
      <c r="X9" s="85"/>
    </row>
    <row r="10" spans="3:24">
      <c r="C10" t="s">
        <v>50</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177</v>
      </c>
      <c r="D19" s="60"/>
      <c r="E19" s="60">
        <v>3.3935222811020584</v>
      </c>
      <c r="F19" s="60">
        <v>4.2419028513775725</v>
      </c>
      <c r="G19" s="60">
        <v>9.3321862730306595</v>
      </c>
      <c r="H19" s="60">
        <v>22.057894827163377</v>
      </c>
      <c r="I19" s="60">
        <v>135.74089124408232</v>
      </c>
      <c r="J19" s="60">
        <v>3.3935222811020584</v>
      </c>
      <c r="M19" s="39" t="s">
        <v>177</v>
      </c>
      <c r="N19" s="84">
        <v>453352.42</v>
      </c>
      <c r="O19" s="84">
        <f t="shared" si="0"/>
        <v>117871629.2</v>
      </c>
      <c r="Q19" s="63" t="s">
        <v>177</v>
      </c>
      <c r="R19" s="64"/>
      <c r="S19" s="39">
        <v>4</v>
      </c>
      <c r="T19" s="39">
        <v>5</v>
      </c>
      <c r="U19" s="39">
        <v>11</v>
      </c>
      <c r="V19" s="39">
        <v>26</v>
      </c>
      <c r="W19" s="39">
        <v>160</v>
      </c>
      <c r="X19" s="39">
        <v>4</v>
      </c>
    </row>
    <row r="20" spans="3:24">
      <c r="C20" s="55" t="s">
        <v>178</v>
      </c>
      <c r="D20" s="60"/>
      <c r="E20" s="60">
        <v>0.40874620684819268</v>
      </c>
      <c r="F20" s="60">
        <v>2.3356926105611011</v>
      </c>
      <c r="G20" s="60">
        <v>15.532355860231322</v>
      </c>
      <c r="H20" s="60">
        <v>25.692618716172113</v>
      </c>
      <c r="I20" s="60">
        <v>267.43680390924607</v>
      </c>
      <c r="J20" s="60">
        <v>10.452224432260929</v>
      </c>
      <c r="M20" s="39" t="s">
        <v>178</v>
      </c>
      <c r="N20" s="84">
        <v>6586746.6100000003</v>
      </c>
      <c r="O20" s="84">
        <f t="shared" si="0"/>
        <v>1712554118.6000001</v>
      </c>
      <c r="Q20" s="63" t="s">
        <v>178</v>
      </c>
      <c r="R20" s="64"/>
      <c r="S20" s="39">
        <v>7</v>
      </c>
      <c r="T20" s="39">
        <v>40</v>
      </c>
      <c r="U20" s="39">
        <v>266</v>
      </c>
      <c r="V20" s="39">
        <v>440</v>
      </c>
      <c r="W20" s="39">
        <v>4580</v>
      </c>
      <c r="X20" s="39">
        <v>179</v>
      </c>
    </row>
    <row r="21" spans="3:24">
      <c r="C21" s="55" t="s">
        <v>50</v>
      </c>
      <c r="D21" s="60"/>
      <c r="E21" s="60">
        <v>1.4164379058069814</v>
      </c>
      <c r="F21" s="60">
        <v>1.4164379058069814</v>
      </c>
      <c r="G21" s="60">
        <v>3.1869852880657077</v>
      </c>
      <c r="H21" s="60">
        <v>3.1869852880657077</v>
      </c>
      <c r="I21" s="60">
        <v>16.643145393232032</v>
      </c>
      <c r="J21" s="60">
        <v>0</v>
      </c>
      <c r="M21" s="39" t="s">
        <v>50</v>
      </c>
      <c r="N21" s="84">
        <v>1086148.24</v>
      </c>
      <c r="O21" s="84">
        <f t="shared" si="0"/>
        <v>282398542.39999998</v>
      </c>
      <c r="Q21" s="63" t="s">
        <v>50</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177</v>
      </c>
      <c r="D33" s="60"/>
      <c r="E33" s="60">
        <v>5.3130646924395055</v>
      </c>
      <c r="F33" s="60">
        <v>9.8447963418732023</v>
      </c>
      <c r="G33" s="60">
        <v>24.065057724578939</v>
      </c>
      <c r="H33" s="60">
        <v>52.349313881389243</v>
      </c>
      <c r="I33" s="60">
        <v>389.41638863409548</v>
      </c>
      <c r="J33" s="60">
        <v>13.126395122497602</v>
      </c>
      <c r="M33" s="39" t="s">
        <v>177</v>
      </c>
      <c r="N33" s="84">
        <v>2461276.84</v>
      </c>
      <c r="O33" s="84">
        <f t="shared" si="2"/>
        <v>639931978.39999998</v>
      </c>
      <c r="Q33" s="63" t="s">
        <v>177</v>
      </c>
      <c r="R33" s="64"/>
      <c r="S33" s="39">
        <v>34</v>
      </c>
      <c r="T33" s="39">
        <v>63</v>
      </c>
      <c r="U33" s="39">
        <v>154</v>
      </c>
      <c r="V33" s="39">
        <v>335</v>
      </c>
      <c r="W33" s="39">
        <v>2492</v>
      </c>
      <c r="X33" s="39">
        <v>84</v>
      </c>
    </row>
    <row r="34" spans="3:24">
      <c r="C34" s="56" t="s">
        <v>178</v>
      </c>
      <c r="D34" s="60"/>
      <c r="E34" s="60">
        <v>1.6733669755541722</v>
      </c>
      <c r="F34" s="60">
        <v>10.467444485381417</v>
      </c>
      <c r="G34" s="60">
        <v>41.371328204126556</v>
      </c>
      <c r="H34" s="60">
        <v>63.089495333659421</v>
      </c>
      <c r="I34" s="60">
        <v>590.98337079199359</v>
      </c>
      <c r="J34" s="60">
        <v>22.750670157002467</v>
      </c>
      <c r="M34" s="39" t="s">
        <v>178</v>
      </c>
      <c r="N34" s="84">
        <v>10802724.890000001</v>
      </c>
      <c r="O34" s="84">
        <f t="shared" si="2"/>
        <v>2808708471.4000001</v>
      </c>
      <c r="Q34" s="63" t="s">
        <v>178</v>
      </c>
      <c r="R34" s="64"/>
      <c r="S34" s="39">
        <v>47</v>
      </c>
      <c r="T34" s="39">
        <v>294</v>
      </c>
      <c r="U34" s="84">
        <v>1162</v>
      </c>
      <c r="V34" s="84">
        <v>1772</v>
      </c>
      <c r="W34" s="84">
        <v>16599</v>
      </c>
      <c r="X34" s="39">
        <v>639</v>
      </c>
    </row>
    <row r="35" spans="3:24">
      <c r="C35" s="56" t="s">
        <v>50</v>
      </c>
      <c r="D35" s="60"/>
      <c r="E35" s="60">
        <v>7.1772175901711934</v>
      </c>
      <c r="F35" s="60">
        <v>11.124687264765349</v>
      </c>
      <c r="G35" s="60">
        <v>37.680392348398769</v>
      </c>
      <c r="H35" s="60">
        <v>58.135462480386664</v>
      </c>
      <c r="I35" s="60">
        <v>454.67673433734507</v>
      </c>
      <c r="J35" s="60">
        <v>26.555705083633416</v>
      </c>
      <c r="M35" s="39" t="s">
        <v>50</v>
      </c>
      <c r="N35" s="84">
        <v>1071767.3799999999</v>
      </c>
      <c r="O35" s="84">
        <f t="shared" si="2"/>
        <v>278659518.79999995</v>
      </c>
      <c r="Q35" s="63" t="s">
        <v>50</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70</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0F1B0-9913-4B8F-AA7C-D593911382DA}"/>
</file>

<file path=customXml/itemProps2.xml><?xml version="1.0" encoding="utf-8"?>
<ds:datastoreItem xmlns:ds="http://schemas.openxmlformats.org/officeDocument/2006/customXml" ds:itemID="{19C2594A-A01A-4B1E-95D6-0CBE87EAC936}"/>
</file>

<file path=customXml/itemProps3.xml><?xml version="1.0" encoding="utf-8"?>
<ds:datastoreItem xmlns:ds="http://schemas.openxmlformats.org/officeDocument/2006/customXml" ds:itemID="{F89E203D-F7A0-4956-A765-B8F86680E92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2018-10-30T13:55:28Z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