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0_HW_US90/"/>
    </mc:Choice>
  </mc:AlternateContent>
  <xr:revisionPtr revIDLastSave="31" documentId="8_{E55B5C4B-E44B-4B7D-B31D-9EEB0F52210B}" xr6:coauthVersionLast="40" xr6:coauthVersionMax="40" xr10:uidLastSave="{9ACB249A-0929-45A3-8225-5091CE1A9E37}"/>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S4" i="12"/>
  <c r="T4" i="12"/>
  <c r="U4" i="12"/>
  <c r="N4" i="12"/>
  <c r="B11" i="12"/>
  <c r="B10" i="12"/>
  <c r="O33" i="12"/>
  <c r="B9" i="12"/>
  <c r="O5" i="12"/>
  <c r="O16"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c r="B14" i="12"/>
  <c r="B13" i="12"/>
  <c r="I24" i="9"/>
  <c r="H24" i="9"/>
  <c r="G24" i="9"/>
  <c r="F24" i="9"/>
  <c r="E24" i="9"/>
  <c r="D24" i="9"/>
  <c r="O31" i="12"/>
  <c r="O30" i="12"/>
  <c r="O28" i="12"/>
  <c r="O20" i="12"/>
  <c r="O13" i="12"/>
  <c r="O19" i="12"/>
  <c r="O12" i="12"/>
  <c r="O14" i="12"/>
  <c r="O23"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O26" i="12"/>
  <c r="O36" i="12"/>
  <c r="O25" i="12"/>
  <c r="B16" i="12"/>
  <c r="O8" i="12"/>
  <c r="O9" i="12"/>
  <c r="O6" i="12"/>
  <c r="O7" i="12"/>
  <c r="O22" i="12"/>
  <c r="O27" i="12"/>
  <c r="O11" i="12"/>
  <c r="O32" i="12"/>
  <c r="O17" i="12"/>
  <c r="O15" i="12"/>
  <c r="O10" i="12"/>
  <c r="O21" i="12"/>
  <c r="O24" i="12"/>
  <c r="O18" i="12"/>
  <c r="O29" i="12"/>
  <c r="Q4" i="12"/>
  <c r="B17" i="12"/>
  <c r="B15" i="12"/>
  <c r="P5" i="12"/>
  <c r="N5" i="12"/>
  <c r="O34" i="12"/>
  <c r="O35" i="12"/>
  <c r="N6" i="12"/>
  <c r="N7" i="12"/>
  <c r="N8" i="12"/>
  <c r="N9" i="12"/>
  <c r="N10" i="12"/>
  <c r="N11" i="12"/>
  <c r="N12" i="12"/>
  <c r="N13" i="12"/>
  <c r="N14" i="12"/>
  <c r="E4" i="12"/>
  <c r="E5" i="12"/>
  <c r="E6" i="12"/>
  <c r="E18" i="12"/>
  <c r="E26" i="12"/>
  <c r="Q5" i="12"/>
  <c r="R5" i="12"/>
  <c r="T5" i="12"/>
  <c r="U5" i="12"/>
  <c r="P6" i="12"/>
  <c r="P7" i="12"/>
  <c r="E19" i="12"/>
  <c r="F26" i="12"/>
  <c r="E20" i="12"/>
  <c r="G26" i="12"/>
  <c r="G28" i="12"/>
  <c r="E21" i="12"/>
  <c r="H26" i="12"/>
  <c r="E17" i="12"/>
  <c r="D26" i="12"/>
  <c r="E22" i="12"/>
  <c r="I26" i="12"/>
  <c r="N15" i="12"/>
  <c r="N16" i="12"/>
  <c r="N17" i="12"/>
  <c r="N18" i="12"/>
  <c r="N19" i="12"/>
  <c r="N20" i="12"/>
  <c r="N21" i="12"/>
  <c r="N22" i="12"/>
  <c r="N23" i="12"/>
  <c r="N24" i="12"/>
  <c r="N25" i="12"/>
  <c r="N26" i="12"/>
  <c r="N27" i="12"/>
  <c r="N28" i="12"/>
  <c r="N29" i="12"/>
  <c r="N30" i="12"/>
  <c r="N31" i="12"/>
  <c r="N32" i="12"/>
  <c r="N33" i="12"/>
  <c r="N34" i="12"/>
  <c r="N35" i="12"/>
  <c r="N36" i="12"/>
  <c r="Q6" i="12"/>
  <c r="R6" i="12"/>
  <c r="T6" i="12"/>
  <c r="U6" i="12"/>
  <c r="Q7" i="12"/>
  <c r="P8" i="12"/>
  <c r="E29" i="12"/>
  <c r="E27" i="12"/>
  <c r="E31" i="12"/>
  <c r="E33" i="12"/>
  <c r="E30" i="12"/>
  <c r="E28" i="12"/>
  <c r="E32" i="12"/>
  <c r="F31" i="12"/>
  <c r="F30" i="12"/>
  <c r="F27" i="12"/>
  <c r="F28" i="12"/>
  <c r="F32" i="12"/>
  <c r="F33" i="12"/>
  <c r="F29" i="12"/>
  <c r="I30" i="12"/>
  <c r="I33" i="12"/>
  <c r="I31" i="12"/>
  <c r="I32" i="12"/>
  <c r="I29" i="12"/>
  <c r="I27" i="12"/>
  <c r="I28" i="12"/>
  <c r="G29" i="12"/>
  <c r="G27" i="12"/>
  <c r="G32" i="12"/>
  <c r="G31" i="12"/>
  <c r="G33" i="12"/>
  <c r="H32" i="12"/>
  <c r="H28" i="12"/>
  <c r="H27" i="12"/>
  <c r="H33" i="12"/>
  <c r="H31" i="12"/>
  <c r="H29" i="12"/>
  <c r="H30" i="12"/>
  <c r="D28" i="12"/>
  <c r="D31" i="12"/>
  <c r="D33" i="12"/>
  <c r="D30" i="12"/>
  <c r="D27" i="12"/>
  <c r="D32" i="12"/>
  <c r="D29" i="12"/>
  <c r="J28" i="12"/>
  <c r="G30" i="12"/>
  <c r="R7" i="12"/>
  <c r="T7" i="12"/>
  <c r="U7" i="12"/>
  <c r="J29" i="12"/>
  <c r="J27" i="12"/>
  <c r="J30" i="12"/>
  <c r="J33" i="12"/>
  <c r="J31" i="12"/>
  <c r="J32" i="12"/>
  <c r="J5" i="12"/>
  <c r="R14" i="12"/>
  <c r="Q8" i="12"/>
  <c r="P9" i="12"/>
  <c r="R8" i="12"/>
  <c r="T8" i="12"/>
  <c r="U8" i="12"/>
  <c r="T14" i="12"/>
  <c r="U14" i="12"/>
  <c r="P10" i="12"/>
  <c r="Q9" i="12"/>
  <c r="R9" i="12"/>
  <c r="T9" i="12"/>
  <c r="U9" i="12"/>
  <c r="P11" i="12"/>
  <c r="Q10" i="12"/>
  <c r="R10" i="12"/>
  <c r="T10" i="12"/>
  <c r="U10" i="12"/>
  <c r="Q11" i="12"/>
  <c r="R11" i="12"/>
  <c r="P12" i="12"/>
  <c r="T11" i="12"/>
  <c r="U11" i="12"/>
  <c r="P13" i="12"/>
  <c r="Q12" i="12"/>
  <c r="R12" i="12"/>
  <c r="T12" i="12"/>
  <c r="U12" i="12"/>
  <c r="P14" i="12"/>
  <c r="Q13" i="12"/>
  <c r="R13" i="12"/>
  <c r="T13" i="12"/>
  <c r="U13" i="12"/>
  <c r="Q14" i="12"/>
  <c r="P15" i="12"/>
  <c r="P16" i="12"/>
  <c r="Q15" i="12"/>
  <c r="R15" i="12"/>
  <c r="T15" i="12"/>
  <c r="U15" i="12"/>
  <c r="P17" i="12"/>
  <c r="Q16" i="12"/>
  <c r="R16" i="12"/>
  <c r="T16" i="12"/>
  <c r="U16" i="12"/>
  <c r="P18" i="12"/>
  <c r="Q17" i="12"/>
  <c r="R17" i="12"/>
  <c r="T17" i="12"/>
  <c r="U17" i="12"/>
  <c r="P19" i="12"/>
  <c r="Q18" i="12"/>
  <c r="R18" i="12"/>
  <c r="T18" i="12"/>
  <c r="U18" i="12"/>
  <c r="Q19" i="12"/>
  <c r="R19" i="12"/>
  <c r="P20" i="12"/>
  <c r="P21" i="12"/>
  <c r="Q20" i="12"/>
  <c r="T19" i="12"/>
  <c r="U19" i="12"/>
  <c r="R20" i="12"/>
  <c r="T20" i="12"/>
  <c r="U20" i="12"/>
  <c r="P22" i="12"/>
  <c r="Q21" i="12"/>
  <c r="R21" i="12"/>
  <c r="T21" i="12"/>
  <c r="U21" i="12"/>
  <c r="P23" i="12"/>
  <c r="Q22" i="12"/>
  <c r="R22" i="12"/>
  <c r="T22" i="12"/>
  <c r="U22" i="12"/>
  <c r="P24" i="12"/>
  <c r="Q23" i="12"/>
  <c r="R23" i="12"/>
  <c r="T23" i="12"/>
  <c r="U23" i="12"/>
  <c r="Q24" i="12"/>
  <c r="R24" i="12"/>
  <c r="P25" i="12"/>
  <c r="T24" i="12"/>
  <c r="U24" i="12"/>
  <c r="P26" i="12"/>
  <c r="Q25" i="12"/>
  <c r="R25" i="12"/>
  <c r="T25" i="12"/>
  <c r="U25" i="12"/>
  <c r="Q26" i="12"/>
  <c r="R26" i="12"/>
  <c r="P27" i="12"/>
  <c r="T26" i="12"/>
  <c r="U26" i="12"/>
  <c r="P28" i="12"/>
  <c r="Q27" i="12"/>
  <c r="R27" i="12"/>
  <c r="T27" i="12"/>
  <c r="U27" i="12"/>
  <c r="P29" i="12"/>
  <c r="Q28" i="12"/>
  <c r="R28" i="12"/>
  <c r="T28" i="12"/>
  <c r="U28" i="12"/>
  <c r="P30" i="12"/>
  <c r="Q29" i="12"/>
  <c r="R29" i="12"/>
  <c r="T29" i="12"/>
  <c r="U29" i="12"/>
  <c r="Q30" i="12"/>
  <c r="R30" i="12"/>
  <c r="P31" i="12"/>
  <c r="T30" i="12"/>
  <c r="U30" i="12"/>
  <c r="Q31" i="12"/>
  <c r="R31" i="12"/>
  <c r="P32" i="12"/>
  <c r="T31" i="12"/>
  <c r="U31" i="12"/>
  <c r="Q32" i="12"/>
  <c r="R32" i="12"/>
  <c r="P33" i="12"/>
  <c r="T32" i="12"/>
  <c r="U32" i="12"/>
  <c r="P34" i="12"/>
  <c r="Q33" i="12"/>
  <c r="R33" i="12"/>
  <c r="T33" i="12"/>
  <c r="U33" i="12"/>
  <c r="Q34" i="12"/>
  <c r="R34" i="12"/>
  <c r="P35" i="12"/>
  <c r="T34" i="12"/>
  <c r="U34" i="12"/>
  <c r="Q35" i="12"/>
  <c r="R35" i="12"/>
  <c r="P36" i="12"/>
  <c r="Q36"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<sst xmlns="http://schemas.openxmlformats.org/spreadsheetml/2006/main" count="441" uniqueCount="286">
  <si>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</si>
  <si>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</si>
  <si>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</si>
  <si>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</si>
  <si>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</si>
  <si>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</si>
  <si>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</si>
  <si>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</si>
  <si>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</si>
  <si>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</si>
  <si>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</si>
  <si>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</si>
  <si>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</si>
  <si>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</si>
  <si>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</si>
  <si>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</si>
  <si>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</si>
  <si>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</si>
  <si>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</si>
  <si>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</si>
  <si>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</si>
  <si>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</si>
  <si>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</si>
  <si>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</si>
  <si>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</si>
  <si>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</si>
  <si>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</si>
  <si>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</si>
  <si>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</si>
  <si>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</si>
  <si>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</si>
  <si>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</si>
  <si>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</si>
  <si>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</si>
  <si>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</si>
  <si>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</si>
  <si>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</si>
  <si>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</si>
  <si>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</si>
  <si>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</si>
  <si>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</si>
  <si>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</si>
  <si>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</si>
  <si>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</si>
  <si>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</si>
  <si>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</si>
  <si>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</si>
  <si>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</si>
  <si>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US 90 Widening</t>
  </si>
  <si>
    <t>County</t>
  </si>
  <si>
    <t>Waller</t>
  </si>
  <si>
    <t>Data entered by the sponsors</t>
  </si>
  <si>
    <t>Facility Type</t>
  </si>
  <si>
    <t>Non-Freeway</t>
  </si>
  <si>
    <t>HGAC regional travel demand model data provided by HGAC upon request</t>
  </si>
  <si>
    <t>Street Name:</t>
  </si>
  <si>
    <t>US 90</t>
  </si>
  <si>
    <t>Populated based on selection in cell "C18"</t>
  </si>
  <si>
    <t>Limits (From)</t>
  </si>
  <si>
    <t>FM 359</t>
  </si>
  <si>
    <t>Benefits calculated by the template</t>
  </si>
  <si>
    <t>Limits (To)</t>
  </si>
  <si>
    <t>FM 2855</t>
  </si>
  <si>
    <t>Length (in Miles)</t>
  </si>
  <si>
    <t>Application ID Number:</t>
  </si>
  <si>
    <t>Sponsor ID Number (CSJ, etc.):</t>
  </si>
  <si>
    <t>0271-09-025</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</si>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</sst>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1" zoomScaleNormal="100" workbookViewId="0" xr3:uid="{51F8DEE0-4D01-5F28-A812-FC0BD7CAC4A5}">
      <selection activeCell="E25" sqref="E25"/>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6.33</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2028</v>
      </c>
      <c r="D17" s="80"/>
    </row>
    <row r="18" spans="2:13" ht="30">
      <c r="B18" s="3" t="s">
        <v>69</v>
      </c>
      <c r="C18" s="98" t="s">
        <v>70</v>
      </c>
    </row>
    <row r="19" spans="2:13">
      <c r="B19" s="99" t="s">
        <v>71</v>
      </c>
      <c r="C19" s="128">
        <f>VLOOKUP(C18,'CRF Lookup Table'!C3:F84,2, FALSE)</f>
        <v>538</v>
      </c>
      <c r="D19" s="81"/>
    </row>
    <row r="20" spans="2:13">
      <c r="B20" s="99" t="s">
        <v>72</v>
      </c>
      <c r="C20" s="129">
        <f>VLOOKUP(C18,'CRF Lookup Table'!C3:F84,3, FALSE)</f>
        <v>0.45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13424</v>
      </c>
      <c r="D25" s="82"/>
      <c r="I25" s="41"/>
    </row>
    <row r="26" spans="2:13">
      <c r="I26" s="41"/>
    </row>
    <row r="27" spans="2:13">
      <c r="B27" s="73" t="s">
        <v>76</v>
      </c>
      <c r="C27" s="74">
        <v>6763</v>
      </c>
      <c r="D27" s="82"/>
      <c r="I27" s="41"/>
    </row>
    <row r="28" spans="2:13">
      <c r="B28" s="73" t="s">
        <v>77</v>
      </c>
      <c r="C28" s="74">
        <v>11914</v>
      </c>
      <c r="D28" s="82"/>
      <c r="I28" s="41"/>
    </row>
    <row r="29" spans="2:13">
      <c r="B29" s="73" t="s">
        <v>78</v>
      </c>
      <c r="C29" s="75">
        <v>6881</v>
      </c>
      <c r="D29" s="58"/>
      <c r="I29" s="41"/>
    </row>
    <row r="30" spans="2:13">
      <c r="B30" s="73" t="s">
        <v>79</v>
      </c>
      <c r="C30" s="75">
        <v>11914</v>
      </c>
      <c r="D30" s="58"/>
      <c r="I30" s="41"/>
    </row>
    <row r="31" spans="2:13">
      <c r="B31" s="73" t="s">
        <v>80</v>
      </c>
      <c r="C31" s="74">
        <v>10679</v>
      </c>
      <c r="D31" s="82"/>
      <c r="H31" s="59"/>
    </row>
    <row r="32" spans="2:13">
      <c r="B32" s="73" t="s">
        <v>81</v>
      </c>
      <c r="C32" s="74">
        <v>21532</v>
      </c>
      <c r="D32" s="82"/>
    </row>
    <row r="34" spans="2:9" ht="18.75">
      <c r="B34" s="43" t="s">
        <v>82</v>
      </c>
      <c r="C34" s="44"/>
      <c r="D34" s="44"/>
      <c r="E34" s="44"/>
      <c r="F34" s="44"/>
      <c r="I34" s="59"/>
    </row>
    <row r="36" spans="2:9">
      <c r="B36" s="9" t="s">
        <v>83</v>
      </c>
    </row>
    <row r="37" spans="2:9">
      <c r="B37" s="8" t="s">
        <v>84</v>
      </c>
      <c r="C37" s="34">
        <f>Calculations!U37</f>
        <v>65832.37626562464</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ColWidth="9.140625"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14589.014912270555</v>
      </c>
      <c r="G4" s="136" t="s">
        <v>95</v>
      </c>
      <c r="H4" s="136"/>
      <c r="I4" s="136"/>
      <c r="J4" s="136"/>
      <c r="L4" s="106"/>
      <c r="M4" s="107">
        <v>2018</v>
      </c>
      <c r="N4" s="108">
        <f>_2018_Volume_ADT</f>
        <v>13424</v>
      </c>
      <c r="O4" s="109" t="s">
        <v>96</v>
      </c>
      <c r="P4" s="110">
        <f>MIN(B12,1)</f>
        <v>0.56765150243411111</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92348.464394672614</v>
      </c>
      <c r="G5" s="137" t="s">
        <v>99</v>
      </c>
      <c r="H5" s="137"/>
      <c r="I5" s="137"/>
      <c r="J5" s="111">
        <f>SUMPRODUCT(Possible_Crash_Reductions,'Value of Statistical Life'!E5:E11)</f>
        <v>9655204.1309487429</v>
      </c>
      <c r="L5" s="106"/>
      <c r="M5" s="11">
        <f t="shared" ref="M5:M36" si="1">M4+1</f>
        <v>2019</v>
      </c>
      <c r="N5" s="112">
        <f>N4+(N4*O5)</f>
        <v>13457.212511518512</v>
      </c>
      <c r="O5" s="113">
        <f t="shared" ref="O5:O11" si="2">IF(ISERROR(_2025_2045_Demand_Growth),_2018_2045_Demand_Growth,_2018_2025_Demand_Growth)</f>
        <v>2.4741143860631531E-3</v>
      </c>
      <c r="P5" s="114">
        <f t="shared" ref="P5:P11" si="3">P4*(1+IFERROR(_2018_2025_V_C_Growth,_2018_2045_V_C_Growth))</f>
        <v>0.56905593718255376</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24010600.74261488</v>
      </c>
      <c r="L6" s="106"/>
      <c r="M6" s="107">
        <f t="shared" si="1"/>
        <v>2020</v>
      </c>
      <c r="N6" s="112">
        <f t="shared" ref="N6:N36" si="6">N5+(N5*O6)</f>
        <v>13490.507194589569</v>
      </c>
      <c r="O6" s="113">
        <f t="shared" si="2"/>
        <v>2.4741143860631531E-3</v>
      </c>
      <c r="P6" s="114">
        <f t="shared" si="3"/>
        <v>0.57046384666321182</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13523.884252514992</v>
      </c>
      <c r="O7" s="113">
        <f t="shared" si="2"/>
        <v>2.4741143860631531E-3</v>
      </c>
      <c r="P7" s="114">
        <f t="shared" si="3"/>
        <v>0.57187523947297014</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13557.343889099593</v>
      </c>
      <c r="O8" s="113">
        <f t="shared" si="2"/>
        <v>2.4741143860631531E-3</v>
      </c>
      <c r="P8" s="114">
        <f t="shared" si="3"/>
        <v>0.57329012422998349</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2.4741143860631531E-3</v>
      </c>
      <c r="D9" s="39" t="s">
        <v>104</v>
      </c>
      <c r="E9" s="119">
        <f>IF('Inputs &amp; Outputs'!$C$8='CRASH RATES'!$D$3, VLOOKUP('Inputs &amp; Outputs'!$C$7,'CRASH RATES'!$C$14:$J$21,3,FALSE), VLOOKUP('Inputs &amp; Outputs'!$C$7,'CRASH RATES'!$C$28:$J$35,3,FALSE))</f>
        <v>7.1772175901711934</v>
      </c>
      <c r="F9" s="85"/>
      <c r="L9" s="106"/>
      <c r="M9" s="11">
        <f t="shared" si="1"/>
        <v>2023</v>
      </c>
      <c r="N9" s="112">
        <f t="shared" si="6"/>
        <v>13590.88630865242</v>
      </c>
      <c r="O9" s="113">
        <f t="shared" si="2"/>
        <v>2.4741143860631531E-3</v>
      </c>
      <c r="P9" s="114">
        <f t="shared" si="3"/>
        <v>0.57470850957372888</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2.2219005886508603E-2</v>
      </c>
      <c r="D10" s="39" t="s">
        <v>106</v>
      </c>
      <c r="E10" s="119">
        <f>IF('Inputs &amp; Outputs'!$C$8='CRASH RATES'!$D$3, VLOOKUP('Inputs &amp; Outputs'!$C$7,'CRASH RATES'!$C$14:$J$21,4,FALSE), VLOOKUP('Inputs &amp; Outputs'!$C$7,'CRASH RATES'!$C$28:$J$35,4,FALSE))</f>
        <v>11.124687264765349</v>
      </c>
      <c r="F10" s="85"/>
      <c r="L10" s="106"/>
      <c r="M10" s="107">
        <f t="shared" si="1"/>
        <v>2024</v>
      </c>
      <c r="N10" s="112">
        <f t="shared" si="6"/>
        <v>13624.511715988005</v>
      </c>
      <c r="O10" s="113">
        <f t="shared" si="2"/>
        <v>2.4741143860631531E-3</v>
      </c>
      <c r="P10" s="114">
        <f t="shared" si="3"/>
        <v>0.57613040416505812</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1.7062922486035026E-2</v>
      </c>
      <c r="D11" s="39" t="s">
        <v>108</v>
      </c>
      <c r="E11" s="119">
        <f>IF('Inputs &amp; Outputs'!$C$8='CRASH RATES'!$D$3, VLOOKUP('Inputs &amp; Outputs'!$C$7,'CRASH RATES'!$C$14:$J$21,5,FALSE), VLOOKUP('Inputs &amp; Outputs'!$C$7,'CRASH RATES'!$C$28:$J$35,5,FALSE))</f>
        <v>37.680392348398769</v>
      </c>
      <c r="F11" s="85"/>
      <c r="L11" s="106"/>
      <c r="M11" s="11">
        <f t="shared" si="1"/>
        <v>2025</v>
      </c>
      <c r="N11" s="112">
        <f t="shared" si="6"/>
        <v>13658.220316427616</v>
      </c>
      <c r="O11" s="113">
        <f t="shared" si="2"/>
        <v>2.4741143860631531E-3</v>
      </c>
      <c r="P11" s="114">
        <f t="shared" si="3"/>
        <v>0.57755581668625122</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75">
      <c r="A12" s="39" t="s">
        <v>109</v>
      </c>
      <c r="B12" s="120">
        <f>'Inputs &amp; Outputs'!C27/_2018_Peak_Period_Capacity</f>
        <v>0.56765150243411111</v>
      </c>
      <c r="D12" s="39" t="s">
        <v>110</v>
      </c>
      <c r="E12" s="119">
        <f>IF('Inputs &amp; Outputs'!$C$8='CRASH RATES'!$D$3, VLOOKUP('Inputs &amp; Outputs'!$C$7,'CRASH RATES'!$C$14:$J$21,6,FALSE), VLOOKUP('Inputs &amp; Outputs'!$C$7,'CRASH RATES'!$C$28:$J$35,6,FALSE))</f>
        <v>58.135462480386664</v>
      </c>
      <c r="F12" s="85"/>
      <c r="L12" s="106"/>
      <c r="M12" s="107">
        <f t="shared" si="1"/>
        <v>2026</v>
      </c>
      <c r="N12" s="112">
        <f t="shared" si="6"/>
        <v>13961.692394037553</v>
      </c>
      <c r="O12" s="113">
        <f t="shared" ref="O12:O36" si="7">IFERROR(_2025_2045_Demand_Growth,_2018_2045_Demand_Growth)</f>
        <v>2.2219005886508603E-2</v>
      </c>
      <c r="P12" s="114">
        <f t="shared" ref="P12:P36" si="8">P11*(1+IFERROR(_2025_2040_V_C_Growth,_2018_2045_V_C_Growth))</f>
        <v>0.57317412247610922</v>
      </c>
      <c r="Q12" s="115">
        <f t="shared" si="4"/>
        <v>1</v>
      </c>
      <c r="R12" s="30">
        <f>IF(M12=Year_Open_to_Traffic?,Calculations!$J$5,Calculations!R11+(Calculations!R11*Calculations!O12*Q12))</f>
        <v>0</v>
      </c>
      <c r="S12" s="45">
        <f t="shared" si="0"/>
        <v>0</v>
      </c>
      <c r="T12" s="30">
        <f t="shared" si="5"/>
        <v>0</v>
      </c>
      <c r="U12" s="31">
        <f>T12/(1+Real_Discount_Rate)^(Calculations!M12-'Assumed Values'!$C$5)</f>
        <v>0</v>
      </c>
    </row>
    <row r="13" spans="1:21" ht="15.75">
      <c r="A13" s="39" t="s">
        <v>111</v>
      </c>
      <c r="B13" s="120">
        <f>_2025_Peak_Period_Volume/_2025_Peak_Period_Capacity</f>
        <v>0.57755581668625144</v>
      </c>
      <c r="D13" s="39" t="s">
        <v>112</v>
      </c>
      <c r="E13" s="119">
        <f>IF('Inputs &amp; Outputs'!$C$8='CRASH RATES'!$D$3, VLOOKUP('Inputs &amp; Outputs'!$C$7,'CRASH RATES'!$C$14:$J$21,7,FALSE), VLOOKUP('Inputs &amp; Outputs'!$C$7,'CRASH RATES'!$C$28:$J$35,7,FALSE))</f>
        <v>454.67673433734507</v>
      </c>
      <c r="F13" s="85"/>
      <c r="L13" s="106"/>
      <c r="M13" s="11">
        <f t="shared" si="1"/>
        <v>2027</v>
      </c>
      <c r="N13" s="112">
        <f t="shared" si="6"/>
        <v>14271.907319526295</v>
      </c>
      <c r="O13" s="113">
        <f t="shared" si="7"/>
        <v>2.2219005886508603E-2</v>
      </c>
      <c r="P13" s="114">
        <f t="shared" si="8"/>
        <v>0.5688256704974477</v>
      </c>
      <c r="Q13" s="115">
        <f t="shared" si="4"/>
        <v>1</v>
      </c>
      <c r="R13" s="30">
        <f>IF(M13=Year_Open_to_Traffic?,Calculations!$J$5,Calculations!R12+(Calculations!R12*Calculations!O13*Q13))</f>
        <v>0</v>
      </c>
      <c r="S13" s="45">
        <f t="shared" si="0"/>
        <v>0</v>
      </c>
      <c r="T13" s="30">
        <f t="shared" si="5"/>
        <v>0</v>
      </c>
      <c r="U13" s="31">
        <f>T13/(1+Real_Discount_Rate)^(Calculations!M13-'Assumed Values'!$C$5)</f>
        <v>0</v>
      </c>
    </row>
    <row r="14" spans="1:21" ht="15.75">
      <c r="A14" s="39" t="s">
        <v>113</v>
      </c>
      <c r="B14" s="120">
        <f>_2045_Peak_Period_Volume/_2045_Peak_Period_Capacity</f>
        <v>0.4959595021363552</v>
      </c>
      <c r="D14" s="39" t="s">
        <v>114</v>
      </c>
      <c r="E14" s="119">
        <f>IF('Inputs &amp; Outputs'!$C$8='CRASH RATES'!$D$3, VLOOKUP('Inputs &amp; Outputs'!$C$7,'CRASH RATES'!$C$14:$J$21,8,FALSE), VLOOKUP('Inputs &amp; Outputs'!$C$7,'CRASH RATES'!$C$28:$J$35,8,FALSE))</f>
        <v>26.555705083633416</v>
      </c>
      <c r="F14" s="85"/>
      <c r="L14" s="106"/>
      <c r="M14" s="107">
        <f>M13+1</f>
        <v>2028</v>
      </c>
      <c r="N14" s="112">
        <f t="shared" si="6"/>
        <v>14589.014912270555</v>
      </c>
      <c r="O14" s="113">
        <f t="shared" si="7"/>
        <v>2.2219005886508603E-2</v>
      </c>
      <c r="P14" s="114">
        <f>P13*(1+IFERROR(_2025_2040_V_C_Growth,_2018_2045_V_C_Growth))</f>
        <v>0.56451020855422085</v>
      </c>
      <c r="Q14" s="115">
        <f t="shared" si="4"/>
        <v>1</v>
      </c>
      <c r="R14" s="30">
        <f>IF(M14=Year_Open_to_Traffic?,Calculations!$J$5,Calculations!R13+(Calculations!R13*Calculations!O14*Q14))</f>
        <v>9655204.1309487429</v>
      </c>
      <c r="S14" s="45">
        <f t="shared" si="0"/>
        <v>1</v>
      </c>
      <c r="T14" s="30">
        <f t="shared" si="5"/>
        <v>9655.2041309487431</v>
      </c>
      <c r="U14" s="31">
        <f>T14/(1+Real_Discount_Rate)^(Calculations!M14-'Assumed Values'!$C$5)</f>
        <v>4908.2161853839971</v>
      </c>
    </row>
    <row r="15" spans="1:21" ht="15.75">
      <c r="A15" s="39" t="s">
        <v>115</v>
      </c>
      <c r="B15" s="118">
        <f>(B13/B12)^(1/(2025-2018))-1</f>
        <v>2.4741143860631531E-3</v>
      </c>
      <c r="L15" s="106"/>
      <c r="M15" s="11">
        <f>M14+1</f>
        <v>2029</v>
      </c>
      <c r="N15" s="112">
        <f t="shared" si="6"/>
        <v>14913.168320484656</v>
      </c>
      <c r="O15" s="113">
        <f t="shared" si="7"/>
        <v>2.2219005886508603E-2</v>
      </c>
      <c r="P15" s="114">
        <f>P14*(1+IFERROR(_2025_2040_V_C_Growth,_2018_2045_V_C_Growth))</f>
        <v>0.56022748636369746</v>
      </c>
      <c r="Q15" s="115">
        <f t="shared" si="4"/>
        <v>1</v>
      </c>
      <c r="R15" s="30">
        <f>IF(M15=Year_Open_to_Traffic?,Calculations!$J$5,Calculations!R14+(Calculations!R14*Calculations!O15*Q15))</f>
        <v>9869733.1683697347</v>
      </c>
      <c r="S15" s="45">
        <f t="shared" si="0"/>
        <v>1</v>
      </c>
      <c r="T15" s="30">
        <f t="shared" si="5"/>
        <v>9869.7331683697339</v>
      </c>
      <c r="U15" s="31">
        <f>T15/(1+Real_Discount_Rate)^(Calculations!M15-'Assumed Values'!$C$5)</f>
        <v>4689.0391305600924</v>
      </c>
    </row>
    <row r="16" spans="1:21" ht="15.75">
      <c r="A16" s="39" t="s">
        <v>116</v>
      </c>
      <c r="B16" s="118">
        <f>(B14/B13)^(1/(2045-2025))-1</f>
        <v>-7.5866160179671738E-3</v>
      </c>
      <c r="D16" s="121" t="s">
        <v>117</v>
      </c>
      <c r="E16" s="57"/>
      <c r="L16" s="106"/>
      <c r="M16" s="107">
        <f t="shared" si="1"/>
        <v>2030</v>
      </c>
      <c r="N16" s="112">
        <f t="shared" si="6"/>
        <v>15244.524095183999</v>
      </c>
      <c r="O16" s="113">
        <f t="shared" si="7"/>
        <v>2.2219005886508603E-2</v>
      </c>
      <c r="P16" s="114">
        <f t="shared" si="8"/>
        <v>0.5559772555419451</v>
      </c>
      <c r="Q16" s="115">
        <f t="shared" si="4"/>
        <v>1</v>
      </c>
      <c r="R16" s="30">
        <f>IF(M16=Year_Open_to_Traffic?,Calculations!$J$5,Calculations!R15+(Calculations!R15*Calculations!O16*Q16))</f>
        <v>10089028.827736011</v>
      </c>
      <c r="S16" s="45">
        <f t="shared" si="0"/>
        <v>1</v>
      </c>
      <c r="T16" s="30">
        <f t="shared" si="5"/>
        <v>10089.02882773601</v>
      </c>
      <c r="U16" s="31">
        <f>T16/(1+Real_Discount_Rate)^(Calculations!M16-'Assumed Values'!$C$5)</f>
        <v>4479.6494566393249</v>
      </c>
    </row>
    <row r="17" spans="1:21" ht="15.75">
      <c r="A17" s="39" t="s">
        <v>118</v>
      </c>
      <c r="B17" s="118">
        <f>(B14/B12)^(1/(2045-2018))-1</f>
        <v>-4.9880147717654699E-3</v>
      </c>
      <c r="D17" s="39" t="s">
        <v>119</v>
      </c>
      <c r="E17" s="122">
        <f>($E$6*Death_Rate)/100000000</f>
        <v>1.7232930600047305</v>
      </c>
      <c r="L17" s="106"/>
      <c r="M17" s="11">
        <f t="shared" si="1"/>
        <v>2031</v>
      </c>
      <c r="N17" s="112">
        <f t="shared" si="6"/>
        <v>15583.242265791914</v>
      </c>
      <c r="O17" s="113">
        <f t="shared" si="7"/>
        <v>2.2219005886508603E-2</v>
      </c>
      <c r="P17" s="114">
        <f t="shared" si="8"/>
        <v>0.55175926958942512</v>
      </c>
      <c r="Q17" s="115">
        <f t="shared" si="4"/>
        <v>1</v>
      </c>
      <c r="R17" s="30">
        <f>IF(M17=Year_Open_to_Traffic?,Calculations!$J$5,Calculations!R16+(Calculations!R16*Calculations!O17*Q17))</f>
        <v>10313197.018648632</v>
      </c>
      <c r="S17" s="45">
        <f t="shared" si="0"/>
        <v>1</v>
      </c>
      <c r="T17" s="30">
        <f t="shared" si="5"/>
        <v>10313.197018648632</v>
      </c>
      <c r="U17" s="31">
        <f>T17/(1+Real_Discount_Rate)^(Calculations!M17-'Assumed Values'!$C$5)</f>
        <v>4279.6101068092421</v>
      </c>
    </row>
    <row r="18" spans="1:21" ht="15.75">
      <c r="D18" s="39" t="s">
        <v>120</v>
      </c>
      <c r="E18" s="122">
        <f>($E$6*Incap_Injry_Rate)/100000000</f>
        <v>2.6711042430073317</v>
      </c>
      <c r="L18" s="106"/>
      <c r="M18" s="107">
        <f t="shared" si="1"/>
        <v>2032</v>
      </c>
      <c r="N18" s="112">
        <f t="shared" si="6"/>
        <v>15929.486417426435</v>
      </c>
      <c r="O18" s="113">
        <f t="shared" si="7"/>
        <v>2.2219005886508603E-2</v>
      </c>
      <c r="P18" s="114">
        <f t="shared" si="8"/>
        <v>0.54757328387669613</v>
      </c>
      <c r="Q18" s="115">
        <f t="shared" si="4"/>
        <v>1</v>
      </c>
      <c r="R18" s="30">
        <f>IF(M18=Year_Open_to_Traffic?,Calculations!$J$5,Calculations!R17+(Calculations!R17*Calculations!O18*Q18))</f>
        <v>10542346.003914708</v>
      </c>
      <c r="S18" s="45">
        <f t="shared" si="0"/>
        <v>1</v>
      </c>
      <c r="T18" s="30">
        <f t="shared" si="5"/>
        <v>10542.346003914708</v>
      </c>
      <c r="U18" s="31">
        <f>T18/(1+Real_Discount_Rate)^(Calculations!M18-'Assumed Values'!$C$5)</f>
        <v>4088.5035410882224</v>
      </c>
    </row>
    <row r="19" spans="1:21" ht="15.75">
      <c r="D19" s="39" t="s">
        <v>121</v>
      </c>
      <c r="E19" s="122">
        <f>($E$6*Nonincap_Injry_Rate)/100000000</f>
        <v>9.047288565024834</v>
      </c>
      <c r="L19" s="106"/>
      <c r="M19" s="11">
        <f t="shared" si="1"/>
        <v>2033</v>
      </c>
      <c r="N19" s="112">
        <f t="shared" si="6"/>
        <v>16283.423769904291</v>
      </c>
      <c r="O19" s="113">
        <f t="shared" si="7"/>
        <v>2.2219005886508603E-2</v>
      </c>
      <c r="P19" s="114">
        <f t="shared" si="8"/>
        <v>0.5434190556302263</v>
      </c>
      <c r="Q19" s="115">
        <f t="shared" si="4"/>
        <v>1</v>
      </c>
      <c r="R19" s="30">
        <f>IF(M19=Year_Open_to_Traffic?,Calculations!$J$5,Calculations!R18+(Calculations!R18*Calculations!O19*Q19))</f>
        <v>10776586.4518333</v>
      </c>
      <c r="S19" s="45">
        <f t="shared" si="0"/>
        <v>1</v>
      </c>
      <c r="T19" s="30">
        <f t="shared" si="5"/>
        <v>10776.5864518333</v>
      </c>
      <c r="U19" s="31">
        <f>T19/(1+Real_Discount_Rate)^(Calculations!M19-'Assumed Values'!$C$5)</f>
        <v>3905.9308647987596</v>
      </c>
    </row>
    <row r="20" spans="1:21" ht="15.75">
      <c r="D20" s="39" t="s">
        <v>122</v>
      </c>
      <c r="E20" s="122">
        <f>($E$6*Poss_Injry_Rate/100000000)</f>
        <v>13.958673786038315</v>
      </c>
      <c r="L20" s="106"/>
      <c r="M20" s="107">
        <f t="shared" si="1"/>
        <v>2034</v>
      </c>
      <c r="N20" s="112">
        <f t="shared" si="6"/>
        <v>16645.225258500308</v>
      </c>
      <c r="O20" s="113">
        <f t="shared" si="7"/>
        <v>2.2219005886508603E-2</v>
      </c>
      <c r="P20" s="114">
        <f t="shared" si="8"/>
        <v>0.53929634391831338</v>
      </c>
      <c r="Q20" s="115">
        <f t="shared" si="4"/>
        <v>1</v>
      </c>
      <c r="R20" s="30">
        <f>IF(M20=Year_Open_to_Traffic?,Calculations!$J$5,Calculations!R19+(Calculations!R19*Calculations!O20*Q20))</f>
        <v>11016031.489643054</v>
      </c>
      <c r="S20" s="45">
        <f t="shared" si="0"/>
        <v>1</v>
      </c>
      <c r="T20" s="30">
        <f t="shared" si="5"/>
        <v>11016.031489643054</v>
      </c>
      <c r="U20" s="31">
        <f>T20/(1+Real_Discount_Rate)^(Calculations!M20-'Assumed Values'!$C$5)</f>
        <v>3731.5109959588967</v>
      </c>
    </row>
    <row r="21" spans="1:21" ht="15.75">
      <c r="D21" s="39" t="s">
        <v>123</v>
      </c>
      <c r="E21" s="122">
        <f>($E$6*Non_Injry_Rate)/100000000</f>
        <v>109.17061535129967</v>
      </c>
      <c r="L21" s="106"/>
      <c r="M21" s="11">
        <f>M20+1</f>
        <v>2035</v>
      </c>
      <c r="N21" s="112">
        <f t="shared" si="6"/>
        <v>17015.06561650119</v>
      </c>
      <c r="O21" s="113">
        <f t="shared" si="7"/>
        <v>2.2219005886508603E-2</v>
      </c>
      <c r="P21" s="114">
        <f>P20*(1+IFERROR(_2025_2040_V_C_Growth,_2018_2045_V_C_Growth))</f>
        <v>0.53520490963711154</v>
      </c>
      <c r="Q21" s="115">
        <f t="shared" si="4"/>
        <v>1</v>
      </c>
      <c r="R21" s="30">
        <f>IF(M21=Year_Open_to_Traffic?,Calculations!$J$5,Calculations!R20+(Calculations!R20*Calculations!O21*Q21))</f>
        <v>11260796.758157397</v>
      </c>
      <c r="S21" s="45">
        <f t="shared" si="0"/>
        <v>1</v>
      </c>
      <c r="T21" s="30">
        <f t="shared" si="5"/>
        <v>11260.796758157398</v>
      </c>
      <c r="U21" s="31">
        <f>T21/(1+Real_Discount_Rate)^(Calculations!M21-'Assumed Values'!$C$5)</f>
        <v>3564.8798698539058</v>
      </c>
    </row>
    <row r="22" spans="1:21" ht="15.75">
      <c r="D22" s="39" t="s">
        <v>124</v>
      </c>
      <c r="E22" s="122">
        <f>($E$6*Unkn_Injry_Rate)/100000000</f>
        <v>6.3761843220175027</v>
      </c>
      <c r="L22" s="106"/>
      <c r="M22" s="107">
        <f>M21+1</f>
        <v>2036</v>
      </c>
      <c r="N22" s="112">
        <f t="shared" si="6"/>
        <v>17393.12345959356</v>
      </c>
      <c r="O22" s="113">
        <f t="shared" si="7"/>
        <v>2.2219005886508603E-2</v>
      </c>
      <c r="P22" s="114">
        <f t="shared" si="8"/>
        <v>0.531144515496764</v>
      </c>
      <c r="Q22" s="115">
        <f t="shared" si="4"/>
        <v>1</v>
      </c>
      <c r="R22" s="30">
        <f>IF(M22=Year_Open_to_Traffic?,Calculations!$J$5,Calculations!R21+(Calculations!R21*Calculations!O22*Q22))</f>
        <v>11511000.467613673</v>
      </c>
      <c r="S22" s="45">
        <f t="shared" si="0"/>
        <v>1</v>
      </c>
      <c r="T22" s="30">
        <f t="shared" si="5"/>
        <v>11511.000467613672</v>
      </c>
      <c r="U22" s="31">
        <f>T22/(1+Real_Discount_Rate)^(Calculations!M22-'Assumed Values'!$C$5)</f>
        <v>3405.68967912793</v>
      </c>
    </row>
    <row r="23" spans="1:21" ht="15.75">
      <c r="L23" s="106"/>
      <c r="M23" s="11">
        <f t="shared" si="1"/>
        <v>2037</v>
      </c>
      <c r="N23" s="112">
        <f t="shared" si="6"/>
        <v>17779.581372127039</v>
      </c>
      <c r="O23" s="113">
        <f t="shared" si="7"/>
        <v>2.2219005886508603E-2</v>
      </c>
      <c r="P23" s="114">
        <f t="shared" si="8"/>
        <v>0.52711492600764087</v>
      </c>
      <c r="Q23" s="115">
        <f t="shared" si="4"/>
        <v>1</v>
      </c>
      <c r="R23" s="30">
        <f>IF(M23=Year_Open_to_Traffic?,Calculations!$J$5,Calculations!R22+(Calculations!R22*Calculations!O23*Q23))</f>
        <v>11766763.454763185</v>
      </c>
      <c r="S23" s="45">
        <f t="shared" si="0"/>
        <v>1</v>
      </c>
      <c r="T23" s="30">
        <f t="shared" si="5"/>
        <v>11766.763454763186</v>
      </c>
      <c r="U23" s="31">
        <f>T23/(1+Real_Discount_Rate)^(Calculations!M23-'Assumed Values'!$C$5)</f>
        <v>3253.6081478094352</v>
      </c>
    </row>
    <row r="24" spans="1:21" ht="15.75">
      <c r="L24" s="106"/>
      <c r="M24" s="107">
        <f t="shared" si="1"/>
        <v>2038</v>
      </c>
      <c r="N24" s="112">
        <f t="shared" si="6"/>
        <v>18174.625995293987</v>
      </c>
      <c r="O24" s="113">
        <f t="shared" si="7"/>
        <v>2.2219005886508603E-2</v>
      </c>
      <c r="P24" s="114">
        <f t="shared" si="8"/>
        <v>0.52311590746668168</v>
      </c>
      <c r="Q24" s="115">
        <f t="shared" si="4"/>
        <v>1</v>
      </c>
      <c r="R24" s="30">
        <f>IF(M24=Year_Open_to_Traffic?,Calculations!$J$5,Calculations!R23+(Calculations!R23*Calculations!O24*Q24))</f>
        <v>12028209.241229722</v>
      </c>
      <c r="S24" s="45">
        <f t="shared" si="0"/>
        <v>1</v>
      </c>
      <c r="T24" s="30">
        <f t="shared" si="5"/>
        <v>12028.209241229722</v>
      </c>
      <c r="U24" s="31">
        <f>T24/(1+Real_Discount_Rate)^(Calculations!M24-'Assumed Values'!$C$5)</f>
        <v>3108.3178377551453</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18578.448117268515</v>
      </c>
      <c r="O25" s="113">
        <f t="shared" si="7"/>
        <v>2.2219005886508603E-2</v>
      </c>
      <c r="P25" s="114">
        <f t="shared" si="8"/>
        <v>0.51914722794384149</v>
      </c>
      <c r="Q25" s="115">
        <f t="shared" si="4"/>
        <v>1</v>
      </c>
      <c r="R25" s="30">
        <f>IF(M25=Year_Open_to_Traffic?,Calculations!$J$5,Calculations!R24+(Calculations!R24*Calculations!O25*Q25))</f>
        <v>12295464.093164762</v>
      </c>
      <c r="S25" s="45">
        <f t="shared" si="0"/>
        <v>1</v>
      </c>
      <c r="T25" s="30">
        <f t="shared" si="5"/>
        <v>12295.464093164763</v>
      </c>
      <c r="U25" s="31">
        <f>T25/(1+Real_Discount_Rate)^(Calculations!M25-'Assumed Values'!$C$5)</f>
        <v>2969.5154860648281</v>
      </c>
    </row>
    <row r="26" spans="1:21" ht="15.75">
      <c r="A26" s="134"/>
      <c r="B26" s="134"/>
      <c r="D26" s="123">
        <f>Calculations!E17</f>
        <v>1.7232930600047305</v>
      </c>
      <c r="E26" s="123">
        <f>Calculations!E18</f>
        <v>2.6711042430073317</v>
      </c>
      <c r="F26" s="123">
        <f>Calculations!E19</f>
        <v>9.047288565024834</v>
      </c>
      <c r="G26" s="123">
        <f>Calculations!E20</f>
        <v>13.958673786038315</v>
      </c>
      <c r="H26" s="123">
        <f>Calculations!E21</f>
        <v>109.17061535129967</v>
      </c>
      <c r="I26" s="123">
        <f>Calculations!E22</f>
        <v>6.3761843220175027</v>
      </c>
      <c r="J26" s="135"/>
      <c r="L26" s="106"/>
      <c r="M26" s="107">
        <f t="shared" si="1"/>
        <v>2040</v>
      </c>
      <c r="N26" s="112">
        <f t="shared" si="6"/>
        <v>18991.242765348299</v>
      </c>
      <c r="O26" s="113">
        <f t="shared" si="7"/>
        <v>2.2219005886508603E-2</v>
      </c>
      <c r="P26" s="114">
        <f t="shared" si="8"/>
        <v>0.51520865726863951</v>
      </c>
      <c r="Q26" s="115">
        <f t="shared" si="4"/>
        <v>1</v>
      </c>
      <c r="R26" s="30">
        <f>IF(M26=Year_Open_to_Traffic?,Calculations!$J$5,Calculations!R25+(Calculations!R25*Calculations!O26*Q26))</f>
        <v>12568657.082228145</v>
      </c>
      <c r="S26" s="45">
        <f t="shared" si="0"/>
        <v>1</v>
      </c>
      <c r="T26" s="30">
        <f t="shared" si="5"/>
        <v>12568.657082228145</v>
      </c>
      <c r="U26" s="31">
        <f>T26/(1+Real_Discount_Rate)^(Calculations!M26-'Assumed Values'!$C$5)</f>
        <v>2836.9113720839073</v>
      </c>
    </row>
    <row r="27" spans="1:21" ht="15.75">
      <c r="A27" s="38" t="s">
        <v>127</v>
      </c>
      <c r="B27" s="39" t="s">
        <v>128</v>
      </c>
      <c r="D27" s="124">
        <f>D$26*'Value of Statistical Life'!D17*Appropriate_Crash_Reduction_Factor</f>
        <v>0</v>
      </c>
      <c r="E27" s="124">
        <f>E$26*'Value of Statistical Life'!E17*Appropriate_Crash_Reduction_Factor</f>
        <v>4.1312633774472897E-2</v>
      </c>
      <c r="F27" s="124">
        <f>F$26*'Value of Statistical Life'!F17*Appropriate_Crash_Reduction_Factor</f>
        <v>0.33982972943518036</v>
      </c>
      <c r="G27" s="124">
        <f>G$26*'Value of Statistical Life'!G17*Appropriate_Crash_Reduction_Factor</f>
        <v>1.4721724688552098</v>
      </c>
      <c r="H27" s="124">
        <f>H$26*'Value of Statistical Life'!H17*Appropriate_Crash_Reduction_Factor</f>
        <v>45.45897174412724</v>
      </c>
      <c r="I27" s="124">
        <f>I$26*'Value of Statistical Life'!I17*Appropriate_Crash_Reduction_Factor</f>
        <v>1.2531880190179641</v>
      </c>
      <c r="J27" s="124">
        <f t="shared" ref="J27:J33" si="9">SUM(D27:I27)</f>
        <v>48.565474595210063</v>
      </c>
      <c r="K27" s="69"/>
      <c r="L27" s="106"/>
      <c r="M27" s="11">
        <f t="shared" si="1"/>
        <v>2041</v>
      </c>
      <c r="N27" s="112">
        <f t="shared" si="6"/>
        <v>19413.209300143688</v>
      </c>
      <c r="O27" s="113">
        <f t="shared" si="7"/>
        <v>2.2219005886508603E-2</v>
      </c>
      <c r="P27" s="114">
        <f t="shared" si="8"/>
        <v>0.51129996701680991</v>
      </c>
      <c r="Q27" s="115">
        <f t="shared" si="4"/>
        <v>1</v>
      </c>
      <c r="R27" s="30">
        <f>IF(M27=Year_Open_to_Traffic?,Calculations!$J$5,Calculations!R26+(Calculations!R26*Calculations!O27*Q27))</f>
        <v>12847920.14792368</v>
      </c>
      <c r="S27" s="45">
        <f t="shared" si="0"/>
        <v>1</v>
      </c>
      <c r="T27" s="30">
        <f t="shared" si="5"/>
        <v>12847.92014792368</v>
      </c>
      <c r="U27" s="31">
        <f>T27/(1+Real_Discount_Rate)^(Calculations!M27-'Assumed Values'!$C$5)</f>
        <v>2710.2287126726569</v>
      </c>
    </row>
    <row r="28" spans="1:21" ht="15.75">
      <c r="A28" s="38" t="s">
        <v>129</v>
      </c>
      <c r="B28" s="39" t="s">
        <v>130</v>
      </c>
      <c r="D28" s="124">
        <f>D$26*'Value of Statistical Life'!D18*Appropriate_Crash_Reduction_Factor</f>
        <v>0</v>
      </c>
      <c r="E28" s="124">
        <f>E$26*'Value of Statistical Life'!E18*Appropriate_Crash_Reduction_Factor</f>
        <v>0.66649526626731093</v>
      </c>
      <c r="F28" s="124">
        <f>F$26*'Value of Statistical Life'!F18*Appropriate_Crash_Reduction_Factor</f>
        <v>3.1284935784099148</v>
      </c>
      <c r="G28" s="124">
        <f>G$26*'Value of Statistical Life'!G18*Appropriate_Crash_Reduction_Factor</f>
        <v>4.3307762528348892</v>
      </c>
      <c r="H28" s="124">
        <f>H$26*'Value of Statistical Life'!H18*Appropriate_Crash_Reduction_Factor</f>
        <v>3.5651302002197176</v>
      </c>
      <c r="I28" s="124">
        <f>I$26*'Value of Statistical Life'!I18*Appropriate_Crash_Reduction_Factor</f>
        <v>1.1976100083750985</v>
      </c>
      <c r="J28" s="124">
        <f t="shared" si="9"/>
        <v>12.888505306106932</v>
      </c>
      <c r="K28" s="69"/>
      <c r="L28" s="106"/>
      <c r="M28" s="107">
        <f t="shared" si="1"/>
        <v>2042</v>
      </c>
      <c r="N28" s="112">
        <f t="shared" si="6"/>
        <v>19844.551511859605</v>
      </c>
      <c r="O28" s="113">
        <f t="shared" si="7"/>
        <v>2.2219005886508603E-2</v>
      </c>
      <c r="P28" s="114">
        <f t="shared" si="8"/>
        <v>0.50742093049705406</v>
      </c>
      <c r="Q28" s="115">
        <f t="shared" si="4"/>
        <v>1</v>
      </c>
      <c r="R28" s="30">
        <f>IF(M28=Year_Open_to_Traffic?,Calculations!$J$5,Calculations!R27+(Calculations!R27*Calculations!O28*Q28))</f>
        <v>13133388.161319789</v>
      </c>
      <c r="S28" s="45">
        <f t="shared" si="0"/>
        <v>1</v>
      </c>
      <c r="T28" s="30">
        <f t="shared" si="5"/>
        <v>13133.388161319788</v>
      </c>
      <c r="U28" s="31">
        <f>T28/(1+Real_Discount_Rate)^(Calculations!M28-'Assumed Values'!$C$5)</f>
        <v>2589.2030844797337</v>
      </c>
    </row>
    <row r="29" spans="1:21" ht="15.75">
      <c r="A29" s="38" t="s">
        <v>131</v>
      </c>
      <c r="B29" s="39" t="s">
        <v>132</v>
      </c>
      <c r="D29" s="124">
        <f>D$26*'Value of Statistical Life'!D19*Appropriate_Crash_Reduction_Factor</f>
        <v>0</v>
      </c>
      <c r="E29" s="124">
        <f>E$26*'Value of Statistical Life'!E19*Appropriate_Crash_Reduction_Factor</f>
        <v>0.25131351380758782</v>
      </c>
      <c r="F29" s="124">
        <f>F$26*'Value of Statistical Life'!F19*Appropriate_Crash_Reduction_Factor</f>
        <v>0.44368807851738284</v>
      </c>
      <c r="G29" s="124">
        <f>G$26*'Value of Statistical Life'!G19*Appropriate_Crash_Reduction_Factor</f>
        <v>0.4014444787495689</v>
      </c>
      <c r="H29" s="124">
        <f>H$26*'Value of Statistical Life'!H19*Appropriate_Crash_Reduction_Factor</f>
        <v>9.7271018278008006E-2</v>
      </c>
      <c r="I29" s="124">
        <f>I$26*'Value of Statistical Life'!I19*Appropriate_Crash_Reduction_Factor</f>
        <v>0.25456278287222678</v>
      </c>
      <c r="J29" s="124">
        <f t="shared" si="9"/>
        <v>1.4482798722247743</v>
      </c>
      <c r="K29" s="69"/>
      <c r="L29" s="106"/>
      <c r="M29" s="11">
        <f t="shared" si="1"/>
        <v>2043</v>
      </c>
      <c r="N29" s="112">
        <f t="shared" si="6"/>
        <v>20285.477718716738</v>
      </c>
      <c r="O29" s="113">
        <f t="shared" si="7"/>
        <v>2.2219005886508603E-2</v>
      </c>
      <c r="P29" s="114">
        <f t="shared" si="8"/>
        <v>0.50357132273789329</v>
      </c>
      <c r="Q29" s="115">
        <f t="shared" si="4"/>
        <v>1</v>
      </c>
      <c r="R29" s="30">
        <f>IF(M29=Year_Open_to_Traffic?,Calculations!$J$5,Calculations!R28+(Calculations!R28*Calculations!O29*Q29))</f>
        <v>13425198.990185956</v>
      </c>
      <c r="S29" s="45">
        <f t="shared" si="0"/>
        <v>1</v>
      </c>
      <c r="T29" s="30">
        <f t="shared" si="5"/>
        <v>13425.198990185956</v>
      </c>
      <c r="U29" s="31">
        <f>T29/(1+Real_Discount_Rate)^(Calculations!M29-'Assumed Values'!$C$5)</f>
        <v>2473.5818720141638</v>
      </c>
    </row>
    <row r="30" spans="1:21" ht="15.75">
      <c r="A30" s="38" t="s">
        <v>133</v>
      </c>
      <c r="B30" s="39" t="s">
        <v>134</v>
      </c>
      <c r="D30" s="124">
        <f>D$26*'Value of Statistical Life'!D20*Appropriate_Crash_Reduction_Factor</f>
        <v>0</v>
      </c>
      <c r="E30" s="124">
        <f>E$26*'Value of Statistical Life'!E20*Appropriate_Crash_Reduction_Factor</f>
        <v>0.17353229380333582</v>
      </c>
      <c r="F30" s="124">
        <f>F$26*'Value of Statistical Life'!F20*Appropriate_Crash_Reduction_Factor</f>
        <v>0.12991454014947409</v>
      </c>
      <c r="G30" s="124">
        <f>G$26*'Value of Statistical Life'!G20*Appropriate_Crash_Reduction_Factor</f>
        <v>6.7273828311811668E-2</v>
      </c>
      <c r="H30" s="124">
        <f>H$26*'Value of Statistical Life'!H20*Appropriate_Crash_Reduction_Factor</f>
        <v>3.9301421526467886E-3</v>
      </c>
      <c r="I30" s="124">
        <f>I$26*'Value of Statistical Life'!I20*Appropriate_Crash_Reduction_Factor</f>
        <v>0.13821335945621238</v>
      </c>
      <c r="J30" s="124">
        <f t="shared" si="9"/>
        <v>0.51286416387348077</v>
      </c>
      <c r="K30" s="69"/>
      <c r="L30" s="106"/>
      <c r="M30" s="11">
        <f t="shared" si="1"/>
        <v>2044</v>
      </c>
      <c r="N30" s="112">
        <f t="shared" si="6"/>
        <v>20736.200867559546</v>
      </c>
      <c r="O30" s="113">
        <f t="shared" si="7"/>
        <v>2.2219005886508603E-2</v>
      </c>
      <c r="P30" s="114">
        <f t="shared" si="8"/>
        <v>0.49975092047462105</v>
      </c>
      <c r="Q30" s="115">
        <f t="shared" si="4"/>
        <v>1</v>
      </c>
      <c r="R30" s="30">
        <f>IF(M30=Year_Open_to_Traffic?,Calculations!$J$5,Calculations!R29+(Calculations!R29*Calculations!O30*Q30))</f>
        <v>13723493.565576447</v>
      </c>
      <c r="S30" s="45">
        <f t="shared" si="0"/>
        <v>1</v>
      </c>
      <c r="T30" s="30">
        <f t="shared" si="5"/>
        <v>13723.493565576448</v>
      </c>
      <c r="U30" s="31">
        <f>T30/(1+Real_Discount_Rate)^(Calculations!M30-'Assumed Values'!$C$5)</f>
        <v>2363.1237403637456</v>
      </c>
    </row>
    <row r="31" spans="1:21" ht="15.75">
      <c r="A31" s="38" t="s">
        <v>135</v>
      </c>
      <c r="B31" s="39" t="s">
        <v>136</v>
      </c>
      <c r="D31" s="124">
        <f>D$26*'Value of Statistical Life'!D21*Appropriate_Crash_Reduction_Factor</f>
        <v>0</v>
      </c>
      <c r="E31" s="124">
        <f>E$26*'Value of Statistical Life'!E21*Appropriate_Crash_Reduction_Factor</f>
        <v>4.7911596806822505E-2</v>
      </c>
      <c r="F31" s="124">
        <f>F$26*'Value of Statistical Life'!F21*Appropriate_Crash_Reduction_Factor</f>
        <v>2.5241935096419286E-2</v>
      </c>
      <c r="G31" s="124">
        <f>G$26*'Value of Statistical Life'!G21*Appropriate_Crash_Reduction_Factor</f>
        <v>8.9195925492784843E-3</v>
      </c>
      <c r="H31" s="124">
        <f>H$26*'Value of Statistical Life'!H21*Appropriate_Crash_Reduction_Factor</f>
        <v>0</v>
      </c>
      <c r="I31" s="124">
        <f>I$26*'Value of Statistical Life'!I21*Appropriate_Crash_Reduction_Factor</f>
        <v>1.7703475770081599E-2</v>
      </c>
      <c r="J31" s="124">
        <f t="shared" si="9"/>
        <v>9.9776600222601874E-2</v>
      </c>
      <c r="K31" s="69"/>
      <c r="L31" s="106"/>
      <c r="M31" s="11">
        <f t="shared" si="1"/>
        <v>2045</v>
      </c>
      <c r="N31" s="112">
        <f t="shared" si="6"/>
        <v>21196.938636699677</v>
      </c>
      <c r="O31" s="113">
        <f t="shared" si="7"/>
        <v>2.2219005886508603E-2</v>
      </c>
      <c r="P31" s="114">
        <f t="shared" si="8"/>
        <v>0.49595950213635448</v>
      </c>
      <c r="Q31" s="115">
        <f t="shared" si="4"/>
        <v>1</v>
      </c>
      <c r="R31" s="30">
        <f>IF(M31=Year_Open_to_Traffic?,Calculations!$J$5,Calculations!R30+(Calculations!R30*Calculations!O31*Q31))</f>
        <v>14028415.949893452</v>
      </c>
      <c r="S31" s="45">
        <f t="shared" si="0"/>
        <v>1</v>
      </c>
      <c r="T31" s="30">
        <f t="shared" si="5"/>
        <v>14028.415949893451</v>
      </c>
      <c r="U31" s="31">
        <f>T31/(1+Real_Discount_Rate)^(Calculations!M31-'Assumed Values'!$C$5)</f>
        <v>2257.598131459285</v>
      </c>
    </row>
    <row r="32" spans="1:21" ht="15.75">
      <c r="A32" s="38" t="s">
        <v>137</v>
      </c>
      <c r="B32" s="39" t="s">
        <v>138</v>
      </c>
      <c r="D32" s="124">
        <f>D$26*'Value of Statistical Life'!D22*Appropriate_Crash_Reduction_Factor</f>
        <v>0</v>
      </c>
      <c r="E32" s="124">
        <f>E$26*'Value of Statistical Life'!E22*Appropriate_Crash_Reduction_Factor</f>
        <v>2.1431604893769326E-2</v>
      </c>
      <c r="F32" s="124">
        <f>F$26*'Value of Statistical Life'!F22*Appropriate_Crash_Reduction_Factor</f>
        <v>4.1119926528037877E-3</v>
      </c>
      <c r="G32" s="124">
        <f>G$26*'Value of Statistical Life'!G22*Appropriate_Crash_Reduction_Factor</f>
        <v>8.1658241648324139E-4</v>
      </c>
      <c r="H32" s="124">
        <f>H$26*'Value of Statistical Life'!H22*Appropriate_Crash_Reduction_Factor</f>
        <v>1.4738033072425457E-3</v>
      </c>
      <c r="I32" s="124">
        <f>I$26*'Value of Statistical Life'!I22*Appropriate_Crash_Reduction_Factor</f>
        <v>8.0052994162929745E-3</v>
      </c>
      <c r="J32" s="124">
        <f t="shared" si="9"/>
        <v>3.5839282686591874E-2</v>
      </c>
      <c r="K32" s="69"/>
      <c r="L32" s="106"/>
      <c r="M32" s="11">
        <f t="shared" si="1"/>
        <v>2046</v>
      </c>
      <c r="N32" s="112">
        <f t="shared" si="6"/>
        <v>21667.913541044469</v>
      </c>
      <c r="O32" s="113">
        <f t="shared" si="7"/>
        <v>2.2219005886508603E-2</v>
      </c>
      <c r="P32" s="114">
        <f t="shared" si="8"/>
        <v>0.49219684783318379</v>
      </c>
      <c r="Q32" s="115">
        <f t="shared" si="4"/>
        <v>1</v>
      </c>
      <c r="R32" s="30">
        <f>IF(M32=Year_Open_to_Traffic?,Calculations!$J$5,Calculations!R31+(Calculations!R31*Calculations!O32*Q32))</f>
        <v>14340113.406462526</v>
      </c>
      <c r="S32" s="45">
        <f t="shared" si="0"/>
        <v>1</v>
      </c>
      <c r="T32" s="30">
        <f t="shared" si="5"/>
        <v>14340.113406462526</v>
      </c>
      <c r="U32" s="31">
        <f>T32/(1+Real_Discount_Rate)^(Calculations!M32-'Assumed Values'!$C$5)</f>
        <v>2156.7847828332247</v>
      </c>
    </row>
    <row r="33" spans="1:21" ht="15.75">
      <c r="A33" s="38" t="s">
        <v>139</v>
      </c>
      <c r="B33" s="39" t="s">
        <v>140</v>
      </c>
      <c r="D33" s="124">
        <f>D$26*'Value of Statistical Life'!D23*Appropriate_Crash_Reduction_Factor</f>
        <v>0.77548187700212878</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0.77548187700212878</v>
      </c>
      <c r="K33" s="69"/>
      <c r="L33" s="106"/>
      <c r="M33" s="11">
        <f t="shared" si="1"/>
        <v>2047</v>
      </c>
      <c r="N33" s="112">
        <f t="shared" si="6"/>
        <v>22149.353039561294</v>
      </c>
      <c r="O33" s="113">
        <f t="shared" si="7"/>
        <v>2.2219005886508603E-2</v>
      </c>
      <c r="P33" s="114">
        <f t="shared" si="8"/>
        <v>0.48846273934341961</v>
      </c>
      <c r="Q33" s="115">
        <f t="shared" si="4"/>
        <v>1</v>
      </c>
      <c r="R33" s="30">
        <f>IF(M33=Year_Open_to_Traffic?,Calculations!$J$5,Calculations!R32+(Calculations!R32*Calculations!O33*Q33))</f>
        <v>14658736.470653918</v>
      </c>
      <c r="S33" s="45">
        <f t="shared" si="0"/>
        <v>1</v>
      </c>
      <c r="T33" s="30">
        <f t="shared" si="5"/>
        <v>14658.736470653917</v>
      </c>
      <c r="U33" s="31">
        <f>T33/(1+Real_Discount_Rate)^(Calculations!M33-'Assumed Values'!$C$5)</f>
        <v>2060.4732678681571</v>
      </c>
    </row>
    <row r="34" spans="1:21" ht="15.75">
      <c r="J34" s="125"/>
      <c r="L34" s="106"/>
      <c r="M34" s="11">
        <f t="shared" si="1"/>
        <v>2048</v>
      </c>
      <c r="N34" s="112">
        <f t="shared" si="6"/>
        <v>22641.489645129663</v>
      </c>
      <c r="O34" s="113">
        <f t="shared" si="7"/>
        <v>2.2219005886508603E-2</v>
      </c>
      <c r="P34" s="114">
        <f t="shared" si="8"/>
        <v>0.48475696010093672</v>
      </c>
      <c r="Q34" s="115">
        <f t="shared" si="4"/>
        <v>1</v>
      </c>
      <c r="R34" s="30">
        <f>IF(M34=Year_Open_to_Traffic?,Calculations!$J$5,Calculations!R33+(Calculations!R33*Calculations!O34*Q34))</f>
        <v>14984439.022584155</v>
      </c>
      <c r="S34" s="45">
        <f t="shared" si="0"/>
        <v>0</v>
      </c>
      <c r="T34" s="30">
        <f t="shared" si="5"/>
        <v>0</v>
      </c>
      <c r="U34" s="31">
        <f>T34/(1+Real_Discount_Rate)^(Calculations!M34-'Assumed Values'!$C$5)</f>
        <v>0</v>
      </c>
    </row>
    <row r="35" spans="1:21" ht="15.75">
      <c r="G35" s="41"/>
      <c r="H35" s="41"/>
      <c r="L35" s="106"/>
      <c r="M35" s="11">
        <f t="shared" si="1"/>
        <v>2049</v>
      </c>
      <c r="N35" s="112">
        <f t="shared" si="6"/>
        <v>23144.561036834122</v>
      </c>
      <c r="O35" s="113">
        <f t="shared" si="7"/>
        <v>2.2219005886508603E-2</v>
      </c>
      <c r="P35" s="114">
        <f t="shared" si="8"/>
        <v>0.48107929518261389</v>
      </c>
      <c r="Q35" s="115">
        <f t="shared" si="4"/>
        <v>1</v>
      </c>
      <c r="R35" s="30">
        <f>IF(M35=Year_Open_to_Traffic?,Calculations!$J$5,Calculations!R34+(Calculations!R34*Calculations!O35*Q35))</f>
        <v>15317378.361432983</v>
      </c>
      <c r="S35" s="45">
        <f t="shared" si="0"/>
        <v>0</v>
      </c>
      <c r="T35" s="30">
        <f t="shared" si="5"/>
        <v>0</v>
      </c>
      <c r="U35" s="31">
        <f>T35/(1+Real_Discount_Rate)^(Calculations!M35-'Assumed Values'!$C$5)</f>
        <v>0</v>
      </c>
    </row>
    <row r="36" spans="1:21" ht="15.75">
      <c r="G36" s="41"/>
      <c r="H36" s="41"/>
      <c r="L36" s="106"/>
      <c r="M36" s="11">
        <f t="shared" si="1"/>
        <v>2050</v>
      </c>
      <c r="N36" s="112">
        <f t="shared" si="6"/>
        <v>23658.810174752198</v>
      </c>
      <c r="O36" s="113">
        <f t="shared" si="7"/>
        <v>2.2219005886508603E-2</v>
      </c>
      <c r="P36" s="114">
        <f t="shared" si="8"/>
        <v>0.47742953129586913</v>
      </c>
      <c r="Q36" s="115">
        <f t="shared" si="4"/>
        <v>1</v>
      </c>
      <c r="R36" s="30">
        <f>IF(M36=Year_Open_to_Traffic?,Calculations!$J$5,Calculations!R35+(Calculations!R35*Calculations!O36*Q36))</f>
        <v>15657715.281411542</v>
      </c>
      <c r="S36" s="45">
        <f t="shared" si="0"/>
        <v>0</v>
      </c>
      <c r="T36" s="30">
        <f t="shared" si="5"/>
        <v>0</v>
      </c>
      <c r="U36" s="31">
        <f>T36/(1+Real_Discount_Rate)^(Calculations!M36-'Assumed Values'!$C$5)</f>
        <v>0</v>
      </c>
    </row>
    <row r="37" spans="1:21">
      <c r="M37" s="39"/>
      <c r="N37" s="39"/>
      <c r="O37" s="118"/>
      <c r="P37" s="120"/>
      <c r="Q37" s="39"/>
      <c r="R37" s="39"/>
      <c r="S37" s="39"/>
      <c r="T37" s="39"/>
      <c r="U37" s="31">
        <f>SUM(U4:U36)</f>
        <v>65832.37626562464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174</v>
      </c>
      <c r="G7" s="39" t="s">
        <v>175</v>
      </c>
      <c r="H7" s="127" t="s">
        <v>176</v>
      </c>
      <c r="Q7" s="86"/>
      <c r="R7" s="85"/>
      <c r="S7" s="85"/>
      <c r="T7" s="85"/>
      <c r="U7" s="85"/>
      <c r="V7" s="85"/>
      <c r="W7" s="85"/>
      <c r="X7" s="85"/>
    </row>
    <row r="8" spans="3:24">
      <c r="C8" t="s">
        <v>177</v>
      </c>
      <c r="Q8" s="86"/>
      <c r="R8" s="85"/>
      <c r="S8" s="85"/>
      <c r="T8" s="85"/>
      <c r="U8" s="85"/>
      <c r="V8" s="85"/>
      <c r="W8" s="85"/>
      <c r="X8" s="85"/>
    </row>
    <row r="9" spans="3:24">
      <c r="C9" t="s">
        <v>178</v>
      </c>
      <c r="Q9" s="86"/>
      <c r="R9" s="85"/>
      <c r="S9" s="85"/>
      <c r="T9" s="85"/>
      <c r="U9" s="85"/>
      <c r="V9" s="85"/>
      <c r="W9" s="85"/>
      <c r="X9" s="85"/>
    </row>
    <row r="10" spans="3:24">
      <c r="C10" t="s">
        <v>50</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166</v>
      </c>
      <c r="H13" s="54" t="s">
        <v>169</v>
      </c>
      <c r="I13" s="54" t="s">
        <v>172</v>
      </c>
      <c r="J13" s="54" t="s">
        <v>175</v>
      </c>
      <c r="M13" s="39" t="s">
        <v>182</v>
      </c>
      <c r="N13" s="39" t="s">
        <v>183</v>
      </c>
      <c r="O13" s="39" t="s">
        <v>184</v>
      </c>
      <c r="Q13" s="62" t="s">
        <v>49</v>
      </c>
      <c r="R13" s="62" t="s">
        <v>185</v>
      </c>
      <c r="S13" s="62" t="s">
        <v>159</v>
      </c>
      <c r="T13" s="62" t="s">
        <v>163</v>
      </c>
      <c r="U13" s="62" t="s">
        <v>166</v>
      </c>
      <c r="V13" s="62" t="s">
        <v>169</v>
      </c>
      <c r="W13" s="62" t="s">
        <v>172</v>
      </c>
      <c r="X13" s="62" t="s">
        <v>175</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174</v>
      </c>
      <c r="D18" s="60"/>
      <c r="E18" s="60">
        <v>0.90708688014883054</v>
      </c>
      <c r="F18" s="60">
        <v>3.6345604444319584</v>
      </c>
      <c r="G18" s="60">
        <v>19.334618979610692</v>
      </c>
      <c r="H18" s="60">
        <v>53.611319786330533</v>
      </c>
      <c r="I18" s="60">
        <v>404.81547842368047</v>
      </c>
      <c r="J18" s="60">
        <v>37.824280317438905</v>
      </c>
      <c r="M18" s="39" t="s">
        <v>174</v>
      </c>
      <c r="N18" s="84">
        <v>61905697.659999996</v>
      </c>
      <c r="O18" s="84">
        <f t="shared" si="0"/>
        <v>16095481391.599998</v>
      </c>
      <c r="Q18" s="63" t="s">
        <v>174</v>
      </c>
      <c r="R18" s="64"/>
      <c r="S18" s="39">
        <v>146</v>
      </c>
      <c r="T18" s="39">
        <v>585</v>
      </c>
      <c r="U18" s="39">
        <v>3112</v>
      </c>
      <c r="V18" s="39">
        <v>8629</v>
      </c>
      <c r="W18" s="39">
        <v>65157</v>
      </c>
      <c r="X18" s="39">
        <v>6088</v>
      </c>
    </row>
    <row r="19" spans="3:24">
      <c r="C19" s="55" t="s">
        <v>177</v>
      </c>
      <c r="D19" s="60"/>
      <c r="E19" s="60">
        <v>3.3935222811020584</v>
      </c>
      <c r="F19" s="60">
        <v>4.2419028513775725</v>
      </c>
      <c r="G19" s="60">
        <v>9.3321862730306595</v>
      </c>
      <c r="H19" s="60">
        <v>22.057894827163377</v>
      </c>
      <c r="I19" s="60">
        <v>135.74089124408232</v>
      </c>
      <c r="J19" s="60">
        <v>3.3935222811020584</v>
      </c>
      <c r="M19" s="39" t="s">
        <v>177</v>
      </c>
      <c r="N19" s="84">
        <v>453352.42</v>
      </c>
      <c r="O19" s="84">
        <f t="shared" si="0"/>
        <v>117871629.2</v>
      </c>
      <c r="Q19" s="63" t="s">
        <v>177</v>
      </c>
      <c r="R19" s="64"/>
      <c r="S19" s="39">
        <v>4</v>
      </c>
      <c r="T19" s="39">
        <v>5</v>
      </c>
      <c r="U19" s="39">
        <v>11</v>
      </c>
      <c r="V19" s="39">
        <v>26</v>
      </c>
      <c r="W19" s="39">
        <v>160</v>
      </c>
      <c r="X19" s="39">
        <v>4</v>
      </c>
    </row>
    <row r="20" spans="3:24">
      <c r="C20" s="55" t="s">
        <v>178</v>
      </c>
      <c r="D20" s="60"/>
      <c r="E20" s="60">
        <v>0.40874620684819268</v>
      </c>
      <c r="F20" s="60">
        <v>2.3356926105611011</v>
      </c>
      <c r="G20" s="60">
        <v>15.532355860231322</v>
      </c>
      <c r="H20" s="60">
        <v>25.692618716172113</v>
      </c>
      <c r="I20" s="60">
        <v>267.43680390924607</v>
      </c>
      <c r="J20" s="60">
        <v>10.452224432260929</v>
      </c>
      <c r="M20" s="39" t="s">
        <v>178</v>
      </c>
      <c r="N20" s="84">
        <v>6586746.6100000003</v>
      </c>
      <c r="O20" s="84">
        <f t="shared" si="0"/>
        <v>1712554118.6000001</v>
      </c>
      <c r="Q20" s="63" t="s">
        <v>178</v>
      </c>
      <c r="R20" s="64"/>
      <c r="S20" s="39">
        <v>7</v>
      </c>
      <c r="T20" s="39">
        <v>40</v>
      </c>
      <c r="U20" s="39">
        <v>266</v>
      </c>
      <c r="V20" s="39">
        <v>440</v>
      </c>
      <c r="W20" s="39">
        <v>4580</v>
      </c>
      <c r="X20" s="39">
        <v>179</v>
      </c>
    </row>
    <row r="21" spans="3:24">
      <c r="C21" s="55" t="s">
        <v>50</v>
      </c>
      <c r="D21" s="60"/>
      <c r="E21" s="60">
        <v>1.4164379058069814</v>
      </c>
      <c r="F21" s="60">
        <v>1.4164379058069814</v>
      </c>
      <c r="G21" s="60">
        <v>3.1869852880657077</v>
      </c>
      <c r="H21" s="60">
        <v>3.1869852880657077</v>
      </c>
      <c r="I21" s="60">
        <v>16.643145393232032</v>
      </c>
      <c r="J21" s="60">
        <v>0</v>
      </c>
      <c r="M21" s="39" t="s">
        <v>50</v>
      </c>
      <c r="N21" s="84">
        <v>1086148.24</v>
      </c>
      <c r="O21" s="84">
        <f t="shared" si="0"/>
        <v>282398542.39999998</v>
      </c>
      <c r="Q21" s="63" t="s">
        <v>50</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166</v>
      </c>
      <c r="H27" s="54" t="s">
        <v>169</v>
      </c>
      <c r="I27" s="54" t="s">
        <v>172</v>
      </c>
      <c r="J27" s="54" t="s">
        <v>175</v>
      </c>
      <c r="M27" s="39" t="s">
        <v>190</v>
      </c>
      <c r="N27" s="39" t="s">
        <v>183</v>
      </c>
      <c r="O27" s="39" t="s">
        <v>184</v>
      </c>
      <c r="Q27" s="62" t="s">
        <v>49</v>
      </c>
      <c r="R27" s="62" t="s">
        <v>185</v>
      </c>
      <c r="S27" s="62" t="s">
        <v>159</v>
      </c>
      <c r="T27" s="62" t="s">
        <v>163</v>
      </c>
      <c r="U27" s="62" t="s">
        <v>166</v>
      </c>
      <c r="V27" s="62" t="s">
        <v>169</v>
      </c>
      <c r="W27" s="62" t="s">
        <v>172</v>
      </c>
      <c r="X27" s="62" t="s">
        <v>175</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174</v>
      </c>
      <c r="D32" s="60"/>
      <c r="E32" s="60">
        <v>1.7455741549787349</v>
      </c>
      <c r="F32" s="60">
        <v>8.8235958091989612</v>
      </c>
      <c r="G32" s="60">
        <v>49.782648723119337</v>
      </c>
      <c r="H32" s="60">
        <v>124.27924895011503</v>
      </c>
      <c r="I32" s="60">
        <v>963.65828946693784</v>
      </c>
      <c r="J32" s="60">
        <v>83.618632907852302</v>
      </c>
      <c r="M32" s="39" t="s">
        <v>174</v>
      </c>
      <c r="N32" s="84">
        <v>68304614.209999993</v>
      </c>
      <c r="O32" s="84">
        <f t="shared" si="2"/>
        <v>17759199694.599998</v>
      </c>
      <c r="Q32" s="63" t="s">
        <v>174</v>
      </c>
      <c r="R32" s="64"/>
      <c r="S32" s="39">
        <v>310</v>
      </c>
      <c r="T32" s="84">
        <v>1567</v>
      </c>
      <c r="U32" s="84">
        <v>8841</v>
      </c>
      <c r="V32" s="84">
        <v>22071</v>
      </c>
      <c r="W32" s="84">
        <v>171138</v>
      </c>
      <c r="X32" s="84">
        <v>14850</v>
      </c>
    </row>
    <row r="33" spans="3:24">
      <c r="C33" s="56" t="s">
        <v>177</v>
      </c>
      <c r="D33" s="60"/>
      <c r="E33" s="60">
        <v>5.3130646924395055</v>
      </c>
      <c r="F33" s="60">
        <v>9.8447963418732023</v>
      </c>
      <c r="G33" s="60">
        <v>24.065057724578939</v>
      </c>
      <c r="H33" s="60">
        <v>52.349313881389243</v>
      </c>
      <c r="I33" s="60">
        <v>389.41638863409548</v>
      </c>
      <c r="J33" s="60">
        <v>13.126395122497602</v>
      </c>
      <c r="M33" s="39" t="s">
        <v>177</v>
      </c>
      <c r="N33" s="84">
        <v>2461276.84</v>
      </c>
      <c r="O33" s="84">
        <f t="shared" si="2"/>
        <v>639931978.39999998</v>
      </c>
      <c r="Q33" s="63" t="s">
        <v>177</v>
      </c>
      <c r="R33" s="64"/>
      <c r="S33" s="39">
        <v>34</v>
      </c>
      <c r="T33" s="39">
        <v>63</v>
      </c>
      <c r="U33" s="39">
        <v>154</v>
      </c>
      <c r="V33" s="39">
        <v>335</v>
      </c>
      <c r="W33" s="39">
        <v>2492</v>
      </c>
      <c r="X33" s="39">
        <v>84</v>
      </c>
    </row>
    <row r="34" spans="3:24">
      <c r="C34" s="56" t="s">
        <v>178</v>
      </c>
      <c r="D34" s="60"/>
      <c r="E34" s="60">
        <v>1.6733669755541722</v>
      </c>
      <c r="F34" s="60">
        <v>10.467444485381417</v>
      </c>
      <c r="G34" s="60">
        <v>41.371328204126556</v>
      </c>
      <c r="H34" s="60">
        <v>63.089495333659421</v>
      </c>
      <c r="I34" s="60">
        <v>590.98337079199359</v>
      </c>
      <c r="J34" s="60">
        <v>22.750670157002467</v>
      </c>
      <c r="M34" s="39" t="s">
        <v>178</v>
      </c>
      <c r="N34" s="84">
        <v>10802724.890000001</v>
      </c>
      <c r="O34" s="84">
        <f t="shared" si="2"/>
        <v>2808708471.4000001</v>
      </c>
      <c r="Q34" s="63" t="s">
        <v>178</v>
      </c>
      <c r="R34" s="64"/>
      <c r="S34" s="39">
        <v>47</v>
      </c>
      <c r="T34" s="39">
        <v>294</v>
      </c>
      <c r="U34" s="84">
        <v>1162</v>
      </c>
      <c r="V34" s="84">
        <v>1772</v>
      </c>
      <c r="W34" s="84">
        <v>16599</v>
      </c>
      <c r="X34" s="39">
        <v>639</v>
      </c>
    </row>
    <row r="35" spans="3:24">
      <c r="C35" s="56" t="s">
        <v>50</v>
      </c>
      <c r="D35" s="60"/>
      <c r="E35" s="60">
        <v>7.1772175901711934</v>
      </c>
      <c r="F35" s="60">
        <v>11.124687264765349</v>
      </c>
      <c r="G35" s="60">
        <v>37.680392348398769</v>
      </c>
      <c r="H35" s="60">
        <v>58.135462480386664</v>
      </c>
      <c r="I35" s="60">
        <v>454.67673433734507</v>
      </c>
      <c r="J35" s="60">
        <v>26.555705083633416</v>
      </c>
      <c r="M35" s="39" t="s">
        <v>50</v>
      </c>
      <c r="N35" s="84">
        <v>1071767.3799999999</v>
      </c>
      <c r="O35" s="84">
        <f t="shared" si="2"/>
        <v>278659518.79999995</v>
      </c>
      <c r="Q35" s="63" t="s">
        <v>50</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60"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261</v>
      </c>
      <c r="D59" s="92">
        <v>514</v>
      </c>
      <c r="E59" s="93">
        <v>0.8</v>
      </c>
      <c r="F59" s="94">
        <v>30</v>
      </c>
    </row>
    <row r="60" spans="3:6">
      <c r="C60" s="71" t="s">
        <v>262</v>
      </c>
      <c r="D60" s="92">
        <v>515</v>
      </c>
      <c r="E60" s="93">
        <v>0.65</v>
      </c>
      <c r="F60" s="94">
        <v>30</v>
      </c>
    </row>
    <row r="61" spans="3:6">
      <c r="C61" s="72" t="s">
        <v>263</v>
      </c>
      <c r="D61" s="92">
        <v>516</v>
      </c>
      <c r="E61" s="93">
        <v>0.95</v>
      </c>
      <c r="F61" s="94">
        <v>20</v>
      </c>
    </row>
    <row r="62" spans="3:6">
      <c r="C62" s="71" t="s">
        <v>264</v>
      </c>
      <c r="D62" s="92">
        <v>517</v>
      </c>
      <c r="E62" s="95">
        <v>0.28000000000000003</v>
      </c>
      <c r="F62" s="94">
        <v>20</v>
      </c>
    </row>
    <row r="63" spans="3:6">
      <c r="C63" s="71" t="s">
        <v>265</v>
      </c>
      <c r="D63" s="92">
        <v>518</v>
      </c>
      <c r="E63" s="93">
        <v>0.45</v>
      </c>
      <c r="F63" s="94">
        <v>10</v>
      </c>
    </row>
    <row r="64" spans="3:6">
      <c r="C64" s="71" t="s">
        <v>266</v>
      </c>
      <c r="D64" s="92">
        <v>519</v>
      </c>
      <c r="E64" s="93">
        <v>0.25</v>
      </c>
      <c r="F64" s="94">
        <v>10</v>
      </c>
    </row>
    <row r="65" spans="3:6">
      <c r="C65" s="71" t="s">
        <v>267</v>
      </c>
      <c r="D65" s="92">
        <v>520</v>
      </c>
      <c r="E65" s="93">
        <v>0.4</v>
      </c>
      <c r="F65" s="94">
        <v>10</v>
      </c>
    </row>
    <row r="66" spans="3:6">
      <c r="C66" s="71" t="s">
        <v>268</v>
      </c>
      <c r="D66" s="92">
        <v>521</v>
      </c>
      <c r="E66" s="93">
        <v>0.25</v>
      </c>
      <c r="F66" s="94">
        <v>10</v>
      </c>
    </row>
    <row r="67" spans="3:6">
      <c r="C67" s="71" t="s">
        <v>269</v>
      </c>
      <c r="D67" s="92">
        <v>522</v>
      </c>
      <c r="E67" s="93">
        <v>0.4</v>
      </c>
      <c r="F67" s="94">
        <v>10</v>
      </c>
    </row>
    <row r="68" spans="3:6">
      <c r="C68" s="71" t="s">
        <v>270</v>
      </c>
      <c r="D68" s="92">
        <v>523</v>
      </c>
      <c r="E68" s="93">
        <v>0.95</v>
      </c>
      <c r="F68" s="94">
        <v>10</v>
      </c>
    </row>
    <row r="69" spans="3:6">
      <c r="C69" s="71" t="s">
        <v>271</v>
      </c>
      <c r="D69" s="92">
        <v>524</v>
      </c>
      <c r="E69" s="93">
        <v>0.1</v>
      </c>
      <c r="F69" s="94">
        <v>10</v>
      </c>
    </row>
    <row r="70" spans="3:6">
      <c r="C70" s="72" t="s">
        <v>272</v>
      </c>
      <c r="D70" s="92">
        <v>525</v>
      </c>
      <c r="E70" s="93">
        <v>0.25</v>
      </c>
      <c r="F70" s="94">
        <v>10</v>
      </c>
    </row>
    <row r="71" spans="3:6">
      <c r="C71" s="71" t="s">
        <v>273</v>
      </c>
      <c r="D71" s="92">
        <v>526</v>
      </c>
      <c r="E71" s="95">
        <v>0.5</v>
      </c>
      <c r="F71" s="94">
        <v>10</v>
      </c>
    </row>
    <row r="72" spans="3:6">
      <c r="C72" s="71" t="s">
        <v>274</v>
      </c>
      <c r="D72" s="92">
        <v>527</v>
      </c>
      <c r="E72" s="93">
        <v>0.95</v>
      </c>
      <c r="F72" s="94">
        <v>10</v>
      </c>
    </row>
    <row r="73" spans="3:6">
      <c r="C73" s="71" t="s">
        <v>275</v>
      </c>
      <c r="D73" s="92">
        <v>528</v>
      </c>
      <c r="E73" s="93">
        <v>0.2</v>
      </c>
      <c r="F73" s="94">
        <v>10</v>
      </c>
    </row>
    <row r="74" spans="3:6">
      <c r="C74" s="71" t="s">
        <v>276</v>
      </c>
      <c r="D74" s="92">
        <v>529</v>
      </c>
      <c r="E74" s="93">
        <v>0.35</v>
      </c>
      <c r="F74" s="94">
        <v>10</v>
      </c>
    </row>
    <row r="75" spans="3:6">
      <c r="C75" s="71" t="s">
        <v>277</v>
      </c>
      <c r="D75" s="92">
        <v>532</v>
      </c>
      <c r="E75" s="95">
        <v>0.25</v>
      </c>
      <c r="F75" s="94">
        <v>10</v>
      </c>
    </row>
    <row r="76" spans="3:6">
      <c r="C76" s="71" t="s">
        <v>278</v>
      </c>
      <c r="D76" s="92">
        <v>533</v>
      </c>
      <c r="E76" s="93">
        <v>0.15</v>
      </c>
      <c r="F76" s="94">
        <v>5</v>
      </c>
    </row>
    <row r="77" spans="3:6">
      <c r="C77" s="71" t="s">
        <v>279</v>
      </c>
      <c r="D77" s="92">
        <v>535</v>
      </c>
      <c r="E77" s="93">
        <v>0.2</v>
      </c>
      <c r="F77" s="94">
        <v>10</v>
      </c>
    </row>
    <row r="78" spans="3:6">
      <c r="C78" s="71" t="s">
        <v>280</v>
      </c>
      <c r="D78" s="92">
        <v>536</v>
      </c>
      <c r="E78" s="93">
        <v>0.4</v>
      </c>
      <c r="F78" s="94">
        <v>20</v>
      </c>
    </row>
    <row r="79" spans="3:6">
      <c r="C79" s="71" t="s">
        <v>281</v>
      </c>
      <c r="D79" s="92">
        <v>537</v>
      </c>
      <c r="E79" s="93">
        <v>0.4</v>
      </c>
      <c r="F79" s="94">
        <v>20</v>
      </c>
    </row>
    <row r="80" spans="3:6">
      <c r="C80" s="71" t="s">
        <v>70</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B6DC9E-78D3-424B-8BAF-9D3AB6852E84}"/>
</file>

<file path=customXml/itemProps2.xml><?xml version="1.0" encoding="utf-8"?>
<ds:datastoreItem xmlns:ds="http://schemas.openxmlformats.org/officeDocument/2006/customXml" ds:itemID="{4CFEFA4D-27CE-41B1-85B5-4E92A87248EE}"/>
</file>

<file path=customXml/itemProps3.xml><?xml version="1.0" encoding="utf-8"?>
<ds:datastoreItem xmlns:ds="http://schemas.openxmlformats.org/officeDocument/2006/customXml" ds:itemID="{E43ECFCC-8E89-4F70-A975-D2195AA7978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2018-10-30T16:11:17Z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