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ALCO - Pelican\"/>
    </mc:Choice>
  </mc:AlternateContent>
  <xr:revisionPtr revIDLastSave="0" documentId="13_ncr:1_{93EBE117-5145-48DD-8B72-9A1774862AFB}" xr6:coauthVersionLast="37" xr6:coauthVersionMax="37" xr10:uidLastSave="{00000000-0000-0000-0000-000000000000}"/>
  <bookViews>
    <workbookView xWindow="432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7" i="11" l="1"/>
  <c r="C32" i="11" l="1"/>
  <c r="C30" i="11"/>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15" i="15"/>
  <c r="O16" i="15"/>
  <c r="O17" i="15"/>
  <c r="O18" i="15"/>
  <c r="O19" i="15"/>
  <c r="O20" i="15"/>
  <c r="O21" i="15"/>
  <c r="O36" i="15" l="1"/>
  <c r="O22" i="15"/>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s="1"/>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s="1"/>
  <c r="J24" i="7" s="1"/>
  <c r="G25" i="7"/>
  <c r="S26" i="12"/>
  <c r="P27" i="12"/>
  <c r="Q26" i="12"/>
  <c r="M27" i="12"/>
  <c r="T7" i="12" l="1"/>
  <c r="U7" i="12" s="1"/>
  <c r="H25" i="7"/>
  <c r="I25" i="7" s="1"/>
  <c r="J25" i="7" s="1"/>
  <c r="G26" i="7"/>
  <c r="S27" i="12"/>
  <c r="P28" i="12"/>
  <c r="Q27" i="12"/>
  <c r="M28" i="12"/>
  <c r="T8" i="12" l="1"/>
  <c r="U8" i="12" s="1"/>
  <c r="G27" i="7"/>
  <c r="H26" i="7"/>
  <c r="I26" i="7" s="1"/>
  <c r="J26" i="7" s="1"/>
  <c r="S28" i="12"/>
  <c r="P29" i="12"/>
  <c r="Q28" i="12"/>
  <c r="M29" i="12"/>
  <c r="T9" i="12" l="1"/>
  <c r="U9" i="12" s="1"/>
  <c r="G28" i="7"/>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21" i="12" l="1"/>
  <c r="H26" i="12" s="1"/>
  <c r="E17" i="12"/>
  <c r="D26" i="12" s="1"/>
  <c r="E19" i="12"/>
  <c r="F26" i="12" s="1"/>
  <c r="E22" i="12"/>
  <c r="I26" i="12" s="1"/>
  <c r="E18" i="12"/>
  <c r="E26" i="12" s="1"/>
  <c r="E20" i="12"/>
  <c r="G26" i="12" s="1"/>
  <c r="S36" i="12"/>
  <c r="P36" i="12"/>
  <c r="Q36" i="12" s="1"/>
  <c r="F32" i="12" l="1"/>
  <c r="F29" i="12"/>
  <c r="F28" i="12"/>
  <c r="F33" i="12"/>
  <c r="F31" i="12"/>
  <c r="F27" i="12"/>
  <c r="F30" i="12"/>
  <c r="D29" i="12"/>
  <c r="D28" i="12"/>
  <c r="D30" i="12"/>
  <c r="D27" i="12"/>
  <c r="D31" i="12"/>
  <c r="D32" i="12"/>
  <c r="D33" i="12"/>
  <c r="I27" i="12"/>
  <c r="I29" i="12"/>
  <c r="I31" i="12"/>
  <c r="I30" i="12"/>
  <c r="I28" i="12"/>
  <c r="I33" i="12"/>
  <c r="I32" i="12"/>
  <c r="G27" i="12"/>
  <c r="G29" i="12"/>
  <c r="G32" i="12"/>
  <c r="G30" i="12"/>
  <c r="G28" i="12"/>
  <c r="G31" i="12"/>
  <c r="G33" i="12"/>
  <c r="E29" i="12"/>
  <c r="E33" i="12"/>
  <c r="E31" i="12"/>
  <c r="E27" i="12"/>
  <c r="E32" i="12"/>
  <c r="E28" i="12"/>
  <c r="E30" i="12"/>
  <c r="H32" i="12"/>
  <c r="H30" i="12"/>
  <c r="H31" i="12"/>
  <c r="H29" i="12"/>
  <c r="H27" i="12"/>
  <c r="H33" i="12"/>
  <c r="H28" i="12"/>
  <c r="J29" i="12" l="1"/>
  <c r="J32" i="12"/>
  <c r="J31" i="12"/>
  <c r="J27" i="12"/>
  <c r="J30" i="12"/>
  <c r="J33" i="12"/>
  <c r="J28" i="12"/>
  <c r="J5" i="12" l="1"/>
  <c r="R10" i="12" s="1"/>
  <c r="T10" i="12" l="1"/>
  <c r="U10" i="12" s="1"/>
  <c r="R11" i="12"/>
  <c r="R12" i="12" l="1"/>
  <c r="T11" i="12"/>
  <c r="U11" i="12" s="1"/>
  <c r="R13" i="12" l="1"/>
  <c r="T12" i="12"/>
  <c r="U12" i="12" s="1"/>
  <c r="R14" i="12" l="1"/>
  <c r="T13" i="12"/>
  <c r="U13" i="12" s="1"/>
  <c r="R15" i="12" l="1"/>
  <c r="T14" i="12"/>
  <c r="U14" i="12" s="1"/>
  <c r="R16" i="12" l="1"/>
  <c r="T15" i="12"/>
  <c r="U15" i="12" s="1"/>
  <c r="R17" i="12" l="1"/>
  <c r="T16" i="12"/>
  <c r="U16" i="12" s="1"/>
  <c r="T17" i="12" l="1"/>
  <c r="U17" i="12" s="1"/>
  <c r="R18" i="12"/>
  <c r="T18" i="12" l="1"/>
  <c r="U18" i="12" s="1"/>
  <c r="R19" i="12"/>
  <c r="T19" i="12" l="1"/>
  <c r="U19" i="12" s="1"/>
  <c r="R20" i="12"/>
  <c r="R21" i="12" l="1"/>
  <c r="T20" i="12"/>
  <c r="U20" i="12" s="1"/>
  <c r="T21" i="12" l="1"/>
  <c r="U21" i="12" s="1"/>
  <c r="R22" i="12"/>
  <c r="R23" i="12" l="1"/>
  <c r="T22" i="12"/>
  <c r="U22" i="12" s="1"/>
  <c r="R24" i="12" l="1"/>
  <c r="T23" i="12"/>
  <c r="U23" i="12" s="1"/>
  <c r="R25" i="12" l="1"/>
  <c r="T24" i="12"/>
  <c r="U24" i="12" s="1"/>
  <c r="T25" i="12" l="1"/>
  <c r="U25" i="12" s="1"/>
  <c r="R26" i="12"/>
  <c r="T26" i="12" l="1"/>
  <c r="U26" i="12" s="1"/>
  <c r="R27" i="12"/>
  <c r="R28" i="12" l="1"/>
  <c r="T27" i="12"/>
  <c r="U27" i="12" s="1"/>
  <c r="R29" i="12" l="1"/>
  <c r="T28" i="12"/>
  <c r="U28" i="12" s="1"/>
  <c r="R30" i="12" l="1"/>
  <c r="T29" i="12"/>
  <c r="U29" i="12" s="1"/>
  <c r="R31" i="12" l="1"/>
  <c r="T30" i="12"/>
  <c r="U30" i="12" s="1"/>
  <c r="R32" i="12" l="1"/>
  <c r="T31" i="12"/>
  <c r="U31" i="12" s="1"/>
  <c r="R33" i="12" l="1"/>
  <c r="T32" i="12"/>
  <c r="U32" i="12" s="1"/>
  <c r="R34" i="12" l="1"/>
  <c r="T33" i="12"/>
  <c r="U33" i="12" s="1"/>
  <c r="R35" i="12" l="1"/>
  <c r="T34" i="12"/>
  <c r="U34" i="12" s="1"/>
  <c r="R36" i="12" l="1"/>
  <c r="T36" i="12" s="1"/>
  <c r="U36" i="12" s="1"/>
  <c r="T35" i="12"/>
  <c r="U35" i="12" s="1"/>
  <c r="U37" i="12" l="1"/>
  <c r="C37" i="11" s="1"/>
</calcChain>
</file>

<file path=xl/sharedStrings.xml><?xml version="1.0" encoding="utf-8"?>
<sst xmlns="http://schemas.openxmlformats.org/spreadsheetml/2006/main" count="441" uniqueCount="286">
  <si>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</si>
  <si>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</si>
  <si>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</si>
  <si>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</si>
  <si>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</si>
  <si>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</si>
  <si>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</si>
  <si>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</si>
  <si>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</si>
  <si>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</si>
  <si>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</si>
  <si>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</si>
  <si>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</si>
  <si>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</si>
  <si>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</si>
  <si>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</si>
  <si>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</si>
  <si>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</si>
  <si>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</si>
  <si>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</si>
  <si>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</si>
  <si>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</si>
  <si>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</si>
  <si>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</si>
  <si>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</si>
  <si>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</si>
  <si>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</si>
  <si>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</si>
  <si>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</si>
  <si>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</si>
  <si>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</si>
  <si>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</si>
  <si>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</si>
  <si>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</si>
  <si>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</si>
  <si>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</si>
  <si>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</si>
  <si>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</si>
  <si>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</si>
  <si>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</si>
  <si>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</si>
  <si>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</si>
  <si>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</si>
  <si>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</si>
  <si>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</si>
  <si>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</si>
  <si>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</si>
  <si>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</si>
  <si>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</si>
  <si>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</si>
  <si>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</si>
  <si>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</si>
  <si>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</si>
  <si>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</si>
  <si>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</si>
  <si>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</si>
  <si>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</si>
  <si>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</si>
  <si>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</si>
  <si>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</si>
  <si>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</si>
  <si>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</si>
  <si>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</si>
  <si>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</si>
  <si>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</si>
  <si>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</si>
  <si>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</si>
  <si>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</si>
  <si>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</si>
  <si>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</si>
  <si>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</si>
  <si>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</si>
  <si>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</si>
  <si>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</si>
  <si>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</si>
  <si>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</si>
  <si>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</si>
  <si>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</si>
  <si>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</si>
  <si>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</si>
  <si>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</si>
  <si>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</si>
  <si>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</si>
  <si>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</si>
  <si>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</si>
  <si>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</si>
  <si>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</si>
  <si>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</si>
  <si>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</si>
  <si>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</si>
  <si>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</si>
  <si>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</si>
  <si>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</si>
  <si>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</si>
  <si>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</si>
  <si>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</si>
  <si>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</si>
  <si>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</si>
  <si>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</si>
  <si>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</si>
  <si>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</si>
  <si>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</si>
  <si>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</si>
  <si>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</si>
  <si>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</si>
  <si>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</si>
  <si>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</si>
  <si>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</si>
  <si>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</si>
  <si>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</si>
  <si>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</si>
  <si>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</si>
  <si>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</si>
  <si>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</si>
  <si>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</si>
  <si>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</si>
  <si>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</si>
  <si>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</si>
  <si>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</si>
  <si>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</si>
  <si>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</si>
  <si>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</si>
  <si>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</si>
  <si>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</si>
  <si>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</si>
  <si>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</si>
  <si>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</si>
  <si>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</si>
  <si>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</si>
  <si>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</si>
  <si>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</si>
  <si>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</si>
  <si>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</si>
  <si>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</si>
  <si>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</si>
  <si>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</si>
  <si>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</si>
  <si>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</si>
  <si>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</si>
  <si>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</si>
  <si>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</si>
  <si>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</si>
  <si>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</si>
  <si>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</si>
  <si>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</si>
  <si>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</si>
  <si>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</si>
  <si>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</si>
  <si>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</si>
  <si>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</si>
  <si>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</si>
  <si>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</si>
  <si>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</si>
  <si>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</si>
  <si>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</si>
  <si>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</si>
  <si>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</si>
  <si>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</si>
  <si>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</si>
  <si>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</si>
  <si>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</si>
  <si>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</si>
  <si>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</si>
  <si>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</si>
  <si>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</si>
  <si>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</si>
  <si>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</si>
  <si>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</si>
  <si>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</si>
  <si>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</si>
  <si>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</si>
  <si>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</si>
  <si>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</si>
  <si>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</si>
  <si>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</si>
  <si>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</si>
  <si>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</si>
  <si>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</si>
  <si>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</si>
  <si>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</si>
  <si>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</si>
  <si>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</si>
  <si>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</si>
  <si>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</si>
  <si>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</si>
  <si>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</si>
  <si>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</si>
  <si>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</si>
  <si>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</si>
  <si>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</si>
  <si>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</si>
  <si>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</si>
  <si>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</si>
  <si>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</si>
  <si>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</si>
  <si>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</si>
  <si>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</si>
  <si>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</si>
  <si>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</si>
  <si>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</si>
  <si>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</si>
  <si>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</si>
  <si>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</si>
  <si>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</si>
  <si>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</si>
  <si>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</si>
  <si>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</si>
  <si>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</si>
  <si>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</si>
  <si>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</si>
  <si>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</si>
  <si>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</si>
  <si>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</si>
  <si>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</si>
  <si>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</si>
  <si>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</si>
  <si>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</si>
  <si>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</si>
  <si>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</si>
  <si>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</si>
  <si>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</si>
  <si>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</si>
  <si>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</si>
  <si>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</si>
  <si>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</si>
  <si>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</si>
  <si>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</si>
  <si>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</si>
  <si>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</si>
  <si>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</si>
  <si>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</si>
  <si>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</si>
  <si>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</si>
  <si>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</si>
  <si>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</si>
  <si>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</si>
  <si>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</si>
  <si>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</si>
  <si>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</si>
  <si>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</si>
  <si>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</si>
  <si>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</si>
  <si>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</si>
  <si>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</si>
  <si>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</si>
  <si>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</si>
  <si>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</si>
  <si>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</si>
  <si>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</si>
  <si>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</si>
  <si>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</si>
  <si>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</si>
  <si>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</si>
  <si>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</si>
  <si>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</si>
  <si>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</si>
  <si>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</si>
  <si>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</si>
  <si>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</si>
  <si>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</si>
  <si>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</si>
  <si>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</si>
  <si>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</si>
  <si>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</si>
  <si>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</si>
  <si>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</si>
  <si>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</si>
  <si>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</si>
  <si>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</si>
  <si>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</si>
  <si>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</si>
  <si>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</si>
  <si>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</si>
  <si>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</si>
  <si>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</si>
  <si>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</si>
  <si>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</si>
  <si>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</si>
  <si>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</si>
  <si>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</si>
  <si>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</si>
  <si>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Pelican Island Bridge Replacement</t>
  </si>
  <si>
    <t>Pelican Island Causeway</t>
  </si>
  <si>
    <t>JF Field Road</t>
  </si>
  <si>
    <t>Harborside Drive</t>
  </si>
  <si>
    <t>2017 Traffic Counts, extrapolated 3% to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</si>
</sst>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zoomScale="70" zoomScaleNormal="70" workbookViewId="0">
      <selection activeCell="F33" sqref="F33:F34"/>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30" x14ac:dyDescent="0.25">
      <c r="B6" s="4" t="s">
        <v>166</v>
      </c>
      <c r="C6" s="120" t="s">
        <v>281</v>
      </c>
      <c r="D6" s="94"/>
    </row>
    <row r="7" spans="2:19" x14ac:dyDescent="0.25">
      <c r="B7" s="4" t="s">
        <v>117</v>
      </c>
      <c r="C7" s="121" t="s">
        <v>121</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283</v>
      </c>
      <c r="D10" s="64"/>
      <c r="E10" s="9"/>
      <c r="F10" t="s">
        <v>258</v>
      </c>
    </row>
    <row r="11" spans="2:19" x14ac:dyDescent="0.25">
      <c r="B11" s="4" t="s">
        <v>115</v>
      </c>
      <c r="C11" s="121" t="s">
        <v>284</v>
      </c>
      <c r="D11" s="64"/>
    </row>
    <row r="12" spans="2:19" x14ac:dyDescent="0.25">
      <c r="B12" s="4" t="s">
        <v>116</v>
      </c>
      <c r="C12" s="121">
        <v>1.58</v>
      </c>
      <c r="D12" s="95"/>
      <c r="N12" s="180"/>
      <c r="O12" s="180"/>
      <c r="P12" s="180"/>
      <c r="Q12" s="180"/>
      <c r="R12" s="180"/>
      <c r="S12" s="180"/>
    </row>
    <row r="13" spans="2:19" x14ac:dyDescent="0.25">
      <c r="B13" s="4" t="s">
        <v>77</v>
      </c>
      <c r="C13" s="121">
        <v>217</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2024</v>
      </c>
      <c r="D17" s="96"/>
    </row>
    <row r="18" spans="2:13" x14ac:dyDescent="0.25">
      <c r="B18" s="4" t="s">
        <v>259</v>
      </c>
      <c r="C18" s="120" t="s">
        <v>246</v>
      </c>
      <c r="D18" s="26"/>
    </row>
    <row r="19" spans="2:13" x14ac:dyDescent="0.25">
      <c r="B19" s="122" t="s">
        <v>251</v>
      </c>
      <c r="C19" s="174">
        <f>VLOOKUP(C18,'CRF Lookup Table'!C3:F84,2, FALSE)</f>
        <v>218</v>
      </c>
      <c r="D19" s="97"/>
    </row>
    <row r="20" spans="2:13" x14ac:dyDescent="0.25">
      <c r="B20" s="122" t="s">
        <v>102</v>
      </c>
      <c r="C20" s="175">
        <f>VLOOKUP(C18,'CRF Lookup Table'!C3:F84,3, FALSE)</f>
        <v>0.55000000000000004</v>
      </c>
      <c r="D20" s="98"/>
      <c r="F20" s="68"/>
    </row>
    <row r="21" spans="2:13" x14ac:dyDescent="0.25">
      <c r="B21" s="122" t="s">
        <v>101</v>
      </c>
      <c r="C21" s="176">
        <f>VLOOKUP(C18,'CRF Lookup Table'!C3:F84,4, FALSE)</f>
        <v>20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7704</v>
      </c>
      <c r="D25" s="99" t="s">
        <v>285</v>
      </c>
      <c r="I25" s="49"/>
    </row>
    <row r="26" spans="2:13" x14ac:dyDescent="0.25">
      <c r="I26" s="49"/>
    </row>
    <row r="27" spans="2:13" x14ac:dyDescent="0.25">
      <c r="B27" s="86" t="s">
        <v>269</v>
      </c>
      <c r="C27" s="87">
        <f>_2018_Volume_ADT*0.43</f>
        <v>3312.72</v>
      </c>
      <c r="D27" s="99"/>
      <c r="I27" s="49"/>
    </row>
    <row r="28" spans="2:13" x14ac:dyDescent="0.25">
      <c r="B28" s="86" t="s">
        <v>150</v>
      </c>
      <c r="C28" s="87">
        <v>5511</v>
      </c>
      <c r="D28" s="99"/>
      <c r="I28" s="49"/>
    </row>
    <row r="29" spans="2:13" x14ac:dyDescent="0.25">
      <c r="B29" s="86" t="s">
        <v>270</v>
      </c>
      <c r="C29" s="88">
        <v>4074</v>
      </c>
      <c r="D29" s="69"/>
      <c r="I29" s="49"/>
    </row>
    <row r="30" spans="2:13" x14ac:dyDescent="0.25">
      <c r="B30" s="86" t="s">
        <v>151</v>
      </c>
      <c r="C30" s="88">
        <f>_2018_Peak_Period_Capacity*2</f>
        <v>11022</v>
      </c>
      <c r="D30" s="69"/>
      <c r="I30" s="49"/>
    </row>
    <row r="31" spans="2:13" x14ac:dyDescent="0.25">
      <c r="B31" s="86" t="s">
        <v>271</v>
      </c>
      <c r="C31" s="87">
        <v>7359</v>
      </c>
      <c r="D31" s="99"/>
      <c r="H31" s="70"/>
    </row>
    <row r="32" spans="2:13" x14ac:dyDescent="0.25">
      <c r="B32" s="86" t="s">
        <v>152</v>
      </c>
      <c r="C32" s="87">
        <f>_2025_Peak_Period_Capacity</f>
        <v>11022</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12221.487034022917</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9198.538124056975</v>
      </c>
      <c r="G4" s="183" t="s">
        <v>260</v>
      </c>
      <c r="H4" s="183"/>
      <c r="I4" s="183"/>
      <c r="J4" s="183"/>
      <c r="L4" s="136"/>
      <c r="M4" s="137">
        <v>2018</v>
      </c>
      <c r="N4" s="138">
        <f>_2018_Volume_ADT</f>
        <v>7704</v>
      </c>
      <c r="O4" s="139" t="s">
        <v>85</v>
      </c>
      <c r="P4" s="140">
        <f>MIN(B12,1)</f>
        <v>0.60111050626020679</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20</v>
      </c>
      <c r="D5" s="134" t="s">
        <v>145</v>
      </c>
      <c r="E5" s="135">
        <f>$E$4*'Inputs &amp; Outputs'!$C$12</f>
        <v>14533.690236010021</v>
      </c>
      <c r="G5" s="184" t="s">
        <v>261</v>
      </c>
      <c r="H5" s="184"/>
      <c r="I5" s="184"/>
      <c r="J5" s="143">
        <f>SUMPRODUCT(Possible_Crash_Reductions,'Value of Statistical Life'!E5:E11)</f>
        <v>1285707.9672039801</v>
      </c>
      <c r="L5" s="136"/>
      <c r="M5" s="144">
        <f t="shared" ref="M5:M36" si="1">M4+1</f>
        <v>2019</v>
      </c>
      <c r="N5" s="145">
        <f>N4+(N4*O5)</f>
        <v>7935.0566302855359</v>
      </c>
      <c r="O5" s="146">
        <f t="shared" ref="O5:O11" si="2">IF(ISERROR(_2025_2045_Demand_Growth),_2018_2045_Demand_Growth,_2018_2025_Demand_Growth)</f>
        <v>2.999177443997092E-2</v>
      </c>
      <c r="P5" s="147">
        <f t="shared" ref="P5:P11" si="3">P4*(1+IFERROR(_2018_2025_V_C_Growth,_2018_2045_V_C_Growth))</f>
        <v>0.56076873234426483</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3778759.4613626054</v>
      </c>
      <c r="L6" s="136"/>
      <c r="M6" s="137">
        <f t="shared" si="1"/>
        <v>2020</v>
      </c>
      <c r="N6" s="145">
        <f t="shared" ref="N6:N36" si="6">N5+(N5*O6)</f>
        <v>8173.0430589094558</v>
      </c>
      <c r="O6" s="146">
        <f t="shared" si="2"/>
        <v>2.999177443997092E-2</v>
      </c>
      <c r="P6" s="147">
        <f t="shared" si="3"/>
        <v>0.52313437862100953</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8418.1671228204377</v>
      </c>
      <c r="O7" s="146">
        <f t="shared" si="2"/>
        <v>2.999177443997092E-2</v>
      </c>
      <c r="P7" s="147">
        <f t="shared" si="3"/>
        <v>0.48802574450099628</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8670.6428923660478</v>
      </c>
      <c r="O8" s="146">
        <f t="shared" si="2"/>
        <v>2.999177443997092E-2</v>
      </c>
      <c r="P8" s="147">
        <f t="shared" si="3"/>
        <v>0.45527332369852902</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2.999177443997092E-2</v>
      </c>
      <c r="D9" s="152" t="s">
        <v>137</v>
      </c>
      <c r="E9" s="154">
        <f>IF('Inputs &amp; Outputs'!$C$8='CRASH RATES'!$D$3, VLOOKUP('Inputs &amp; Outputs'!$C$7,'CRASH RATES'!$C$14:$J$21,3,FALSE), VLOOKUP('Inputs &amp; Outputs'!$C$7,'CRASH RATES'!$C$28:$J$35,3,FALSE))</f>
        <v>2.8942083274968362</v>
      </c>
      <c r="F9" s="155"/>
      <c r="L9" s="136"/>
      <c r="M9" s="144">
        <f t="shared" si="1"/>
        <v>2023</v>
      </c>
      <c r="N9" s="145">
        <f t="shared" si="6"/>
        <v>8930.690858243428</v>
      </c>
      <c r="O9" s="146">
        <f t="shared" si="2"/>
        <v>2.999177443997092E-2</v>
      </c>
      <c r="P9" s="147">
        <f t="shared" si="3"/>
        <v>0.42471898584662154</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3.0006318621792483E-2</v>
      </c>
      <c r="D10" s="152" t="s">
        <v>138</v>
      </c>
      <c r="E10" s="154">
        <f>IF('Inputs &amp; Outputs'!$C$8='CRASH RATES'!$D$3, VLOOKUP('Inputs &amp; Outputs'!$C$7,'CRASH RATES'!$C$14:$J$21,4,FALSE), VLOOKUP('Inputs &amp; Outputs'!$C$7,'CRASH RATES'!$C$28:$J$35,4,FALSE))</f>
        <v>14.04542276579347</v>
      </c>
      <c r="F10" s="155"/>
      <c r="L10" s="136"/>
      <c r="M10" s="137">
        <f t="shared" si="1"/>
        <v>2024</v>
      </c>
      <c r="N10" s="145">
        <f t="shared" si="6"/>
        <v>9198.538124056975</v>
      </c>
      <c r="O10" s="146">
        <f t="shared" si="2"/>
        <v>2.999177443997092E-2</v>
      </c>
      <c r="P10" s="147">
        <f t="shared" si="3"/>
        <v>0.3962152130354778</v>
      </c>
      <c r="Q10" s="148">
        <f t="shared" si="4"/>
        <v>1</v>
      </c>
      <c r="R10" s="37">
        <f>IF(M10=Year_Open_to_Traffic?,Calculations!$J$5,Calculations!R9+(Calculations!R9*Calculations!O10*Q10))</f>
        <v>1285707.9672039801</v>
      </c>
      <c r="S10" s="54">
        <f t="shared" si="0"/>
        <v>1</v>
      </c>
      <c r="T10" s="37">
        <f t="shared" si="5"/>
        <v>1285.7079672039802</v>
      </c>
      <c r="U10" s="142">
        <f>T10/(1+Real_Discount_Rate)^(Calculations!M10-'Assumed Values'!$C$5)</f>
        <v>856.72150604530793</v>
      </c>
    </row>
    <row r="11" spans="1:21" ht="15.75" x14ac:dyDescent="0.25">
      <c r="A11" s="152" t="s">
        <v>107</v>
      </c>
      <c r="B11" s="153">
        <f>(_2045_Peak_Period_Volume/'Inputs &amp; Outputs'!$C$27)^(1/(2045-2018))-1</f>
        <v>3.0002547888266617E-2</v>
      </c>
      <c r="D11" s="152" t="s">
        <v>139</v>
      </c>
      <c r="E11" s="154">
        <f>IF('Inputs &amp; Outputs'!$C$8='CRASH RATES'!$D$3, VLOOKUP('Inputs &amp; Outputs'!$C$7,'CRASH RATES'!$C$14:$J$21,5,FALSE), VLOOKUP('Inputs &amp; Outputs'!$C$7,'CRASH RATES'!$C$28:$J$35,5,FALSE))</f>
        <v>51.329635925899773</v>
      </c>
      <c r="F11" s="155"/>
      <c r="L11" s="136"/>
      <c r="M11" s="144">
        <f t="shared" si="1"/>
        <v>2025</v>
      </c>
      <c r="N11" s="145">
        <f t="shared" si="6"/>
        <v>9474.4186046511659</v>
      </c>
      <c r="O11" s="146">
        <f t="shared" si="2"/>
        <v>2.999177443997092E-2</v>
      </c>
      <c r="P11" s="147">
        <f t="shared" si="3"/>
        <v>0.36962438758845939</v>
      </c>
      <c r="Q11" s="148">
        <f t="shared" si="4"/>
        <v>1</v>
      </c>
      <c r="R11" s="37">
        <f>IF(M11=Year_Open_to_Traffic?,Calculations!$J$5,Calculations!R10+(Calculations!R10*Calculations!O11*Q11))</f>
        <v>1324268.6305520353</v>
      </c>
      <c r="S11" s="54">
        <f t="shared" si="0"/>
        <v>1</v>
      </c>
      <c r="T11" s="37">
        <f t="shared" si="5"/>
        <v>1324.2686305520353</v>
      </c>
      <c r="U11" s="142">
        <f>T11/(1+Real_Discount_Rate)^(Calculations!M11-'Assumed Values'!$C$5)</f>
        <v>824.68794786214096</v>
      </c>
    </row>
    <row r="12" spans="1:21" ht="15.75" x14ac:dyDescent="0.25">
      <c r="A12" s="152" t="s">
        <v>75</v>
      </c>
      <c r="B12" s="156">
        <f>'Inputs &amp; Outputs'!C27/_2018_Peak_Period_Capacity</f>
        <v>0.60111050626020679</v>
      </c>
      <c r="D12" s="152" t="s">
        <v>140</v>
      </c>
      <c r="E12" s="154">
        <f>IF('Inputs &amp; Outputs'!$C$8='CRASH RATES'!$D$3, VLOOKUP('Inputs &amp; Outputs'!$C$7,'CRASH RATES'!$C$14:$J$21,6,FALSE), VLOOKUP('Inputs &amp; Outputs'!$C$7,'CRASH RATES'!$C$28:$J$35,6,FALSE))</f>
        <v>102.91464317481397</v>
      </c>
      <c r="F12" s="155"/>
      <c r="L12" s="136"/>
      <c r="M12" s="137">
        <f t="shared" si="1"/>
        <v>2026</v>
      </c>
      <c r="N12" s="145">
        <f t="shared" si="6"/>
        <v>9758.7110280585675</v>
      </c>
      <c r="O12" s="146">
        <f t="shared" ref="O12:O36" si="7">IFERROR(_2025_2045_Demand_Growth,_2018_2045_Demand_Growth)</f>
        <v>3.0006318621792483E-2</v>
      </c>
      <c r="P12" s="147">
        <f t="shared" ref="P12:P36" si="8">P11*(1+IFERROR(_2025_2040_V_C_Growth,_2018_2045_V_C_Growth))</f>
        <v>0.38071545473282364</v>
      </c>
      <c r="Q12" s="148">
        <f t="shared" si="4"/>
        <v>1</v>
      </c>
      <c r="R12" s="37">
        <f>IF(M12=Year_Open_to_Traffic?,Calculations!$J$5,Calculations!R11+(Calculations!R11*Calculations!O12*Q12))</f>
        <v>1364005.0570212244</v>
      </c>
      <c r="S12" s="54">
        <f t="shared" si="0"/>
        <v>1</v>
      </c>
      <c r="T12" s="37">
        <f t="shared" si="5"/>
        <v>1364.0050570212245</v>
      </c>
      <c r="U12" s="142">
        <f>T12/(1+Real_Discount_Rate)^(Calculations!M12-'Assumed Values'!$C$5)</f>
        <v>793.86336185910704</v>
      </c>
    </row>
    <row r="13" spans="1:21" ht="15.75" x14ac:dyDescent="0.25">
      <c r="A13" s="152" t="s">
        <v>74</v>
      </c>
      <c r="B13" s="156">
        <f>_2025_Peak_Period_Volume/_2025_Peak_Period_Capacity</f>
        <v>0.36962438758845945</v>
      </c>
      <c r="D13" s="152" t="s">
        <v>141</v>
      </c>
      <c r="E13" s="154">
        <f>IF('Inputs &amp; Outputs'!$C$8='CRASH RATES'!$D$3, VLOOKUP('Inputs &amp; Outputs'!$C$7,'CRASH RATES'!$C$14:$J$21,7,FALSE), VLOOKUP('Inputs &amp; Outputs'!$C$7,'CRASH RATES'!$C$28:$J$35,7,FALSE))</f>
        <v>1117.0792906394406</v>
      </c>
      <c r="F13" s="155"/>
      <c r="L13" s="136"/>
      <c r="M13" s="144">
        <f t="shared" si="1"/>
        <v>2027</v>
      </c>
      <c r="N13" s="145">
        <f t="shared" si="6"/>
        <v>10051.534020504492</v>
      </c>
      <c r="O13" s="146">
        <f t="shared" si="7"/>
        <v>3.0006318621792483E-2</v>
      </c>
      <c r="P13" s="147">
        <f t="shared" si="8"/>
        <v>0.39213932397177736</v>
      </c>
      <c r="Q13" s="148">
        <f t="shared" si="4"/>
        <v>1</v>
      </c>
      <c r="R13" s="37">
        <f>IF(M13=Year_Open_to_Traffic?,Calculations!$J$5,Calculations!R12+(Calculations!R12*Calculations!O13*Q13))</f>
        <v>1404933.8273639395</v>
      </c>
      <c r="S13" s="54">
        <f t="shared" si="0"/>
        <v>1</v>
      </c>
      <c r="T13" s="37">
        <f t="shared" si="5"/>
        <v>1404.9338273639396</v>
      </c>
      <c r="U13" s="142">
        <f>T13/(1+Real_Discount_Rate)^(Calculations!M13-'Assumed Values'!$C$5)</f>
        <v>764.190914801139</v>
      </c>
    </row>
    <row r="14" spans="1:21" ht="15.75" x14ac:dyDescent="0.25">
      <c r="A14" s="152" t="s">
        <v>148</v>
      </c>
      <c r="B14" s="156">
        <f>_2045_Peak_Period_Volume/_2045_Peak_Period_Capacity</f>
        <v>0.66766467065868262</v>
      </c>
      <c r="D14" s="152" t="s">
        <v>142</v>
      </c>
      <c r="E14" s="154">
        <f>IF('Inputs &amp; Outputs'!$C$8='CRASH RATES'!$D$3, VLOOKUP('Inputs &amp; Outputs'!$C$7,'CRASH RATES'!$C$14:$J$21,8,FALSE), VLOOKUP('Inputs &amp; Outputs'!$C$7,'CRASH RATES'!$C$28:$J$35,8,FALSE))</f>
        <v>47.924684952374079</v>
      </c>
      <c r="F14" s="155"/>
      <c r="L14" s="136"/>
      <c r="M14" s="137">
        <f>M13+1</f>
        <v>2028</v>
      </c>
      <c r="N14" s="145">
        <f t="shared" si="6"/>
        <v>10353.143552961537</v>
      </c>
      <c r="O14" s="146">
        <f t="shared" si="7"/>
        <v>3.0006318621792483E-2</v>
      </c>
      <c r="P14" s="147">
        <f>P13*(1+IFERROR(_2025_2040_V_C_Growth,_2018_2045_V_C_Growth))</f>
        <v>0.40390598147100881</v>
      </c>
      <c r="Q14" s="148">
        <f t="shared" si="4"/>
        <v>1</v>
      </c>
      <c r="R14" s="37">
        <f>IF(M14=Year_Open_to_Traffic?,Calculations!$J$5,Calculations!R13+(Calculations!R13*Calculations!O14*Q14))</f>
        <v>1447090.7194303563</v>
      </c>
      <c r="S14" s="54">
        <f t="shared" si="0"/>
        <v>1</v>
      </c>
      <c r="T14" s="37">
        <f t="shared" si="5"/>
        <v>1447.0907194303563</v>
      </c>
      <c r="U14" s="142">
        <f>T14/(1+Real_Discount_Rate)^(Calculations!M14-'Assumed Values'!$C$5)</f>
        <v>735.6275428771412</v>
      </c>
    </row>
    <row r="15" spans="1:21" ht="15.75" x14ac:dyDescent="0.25">
      <c r="A15" s="152" t="s">
        <v>80</v>
      </c>
      <c r="B15" s="153">
        <f>(B13/B12)^(1/(2025-2018))-1</f>
        <v>-6.7112075892546308E-2</v>
      </c>
      <c r="L15" s="136"/>
      <c r="M15" s="144">
        <f>M14+1</f>
        <v>2029</v>
      </c>
      <c r="N15" s="145">
        <f t="shared" si="6"/>
        <v>10663.803277148858</v>
      </c>
      <c r="O15" s="146">
        <f t="shared" si="7"/>
        <v>3.0006318621792483E-2</v>
      </c>
      <c r="P15" s="147">
        <f>P14*(1+IFERROR(_2025_2040_V_C_Growth,_2018_2045_V_C_Growth))</f>
        <v>0.41602571304427571</v>
      </c>
      <c r="Q15" s="148">
        <f t="shared" si="4"/>
        <v>1</v>
      </c>
      <c r="R15" s="37">
        <f>IF(M15=Year_Open_to_Traffic?,Calculations!$J$5,Calculations!R14+(Calculations!R14*Calculations!O15*Q15))</f>
        <v>1490512.5846322225</v>
      </c>
      <c r="S15" s="54">
        <f t="shared" si="0"/>
        <v>1</v>
      </c>
      <c r="T15" s="37">
        <f t="shared" si="5"/>
        <v>1490.5125846322226</v>
      </c>
      <c r="U15" s="142">
        <f>T15/(1+Real_Discount_Rate)^(Calculations!M15-'Assumed Values'!$C$5)</f>
        <v>708.13179188381207</v>
      </c>
    </row>
    <row r="16" spans="1:21" ht="15.75" x14ac:dyDescent="0.25">
      <c r="A16" s="152" t="s">
        <v>108</v>
      </c>
      <c r="B16" s="153">
        <f>(B14/B13)^(1/(2045-2025))-1</f>
        <v>3.0006318621792483E-2</v>
      </c>
      <c r="D16" s="157" t="s">
        <v>136</v>
      </c>
      <c r="E16" s="151"/>
      <c r="L16" s="136"/>
      <c r="M16" s="137">
        <f t="shared" si="1"/>
        <v>2030</v>
      </c>
      <c r="N16" s="145">
        <f t="shared" si="6"/>
        <v>10983.7847560031</v>
      </c>
      <c r="O16" s="146">
        <f t="shared" si="7"/>
        <v>3.0006318621792483E-2</v>
      </c>
      <c r="P16" s="147">
        <f t="shared" si="8"/>
        <v>0.42850911314474066</v>
      </c>
      <c r="Q16" s="148">
        <f t="shared" si="4"/>
        <v>1</v>
      </c>
      <c r="R16" s="37">
        <f>IF(M16=Year_Open_to_Traffic?,Calculations!$J$5,Calculations!R15+(Calculations!R15*Calculations!O16*Q16))</f>
        <v>1535237.3801564884</v>
      </c>
      <c r="S16" s="54">
        <f t="shared" si="0"/>
        <v>1</v>
      </c>
      <c r="T16" s="37">
        <f t="shared" si="5"/>
        <v>1535.2373801564884</v>
      </c>
      <c r="U16" s="142">
        <f>T16/(1+Real_Discount_Rate)^(Calculations!M16-'Assumed Values'!$C$5)</f>
        <v>681.66375706289591</v>
      </c>
    </row>
    <row r="17" spans="1:21" ht="15.75" x14ac:dyDescent="0.25">
      <c r="A17" s="152" t="s">
        <v>109</v>
      </c>
      <c r="B17" s="153">
        <f>(B14/B12)^(1/(2045-2018))-1</f>
        <v>3.8967307071466895E-3</v>
      </c>
      <c r="D17" s="152" t="s">
        <v>89</v>
      </c>
      <c r="E17" s="158">
        <f>($E$6*Death_Rate)/100000000</f>
        <v>0.10936517100683112</v>
      </c>
      <c r="L17" s="136"/>
      <c r="M17" s="144">
        <f t="shared" si="1"/>
        <v>2031</v>
      </c>
      <c r="N17" s="145">
        <f t="shared" si="6"/>
        <v>11313.367701064917</v>
      </c>
      <c r="O17" s="146">
        <f t="shared" si="7"/>
        <v>3.0006318621792483E-2</v>
      </c>
      <c r="P17" s="147">
        <f t="shared" si="8"/>
        <v>0.44136709412610348</v>
      </c>
      <c r="Q17" s="148">
        <f t="shared" si="4"/>
        <v>1</v>
      </c>
      <c r="R17" s="37">
        <f>IF(M17=Year_Open_to_Traffic?,Calculations!$J$5,Calculations!R16+(Calculations!R16*Calculations!O17*Q17))</f>
        <v>1581304.2021455499</v>
      </c>
      <c r="S17" s="54">
        <f t="shared" si="0"/>
        <v>1</v>
      </c>
      <c r="T17" s="37">
        <f t="shared" si="5"/>
        <v>1581.3042021455499</v>
      </c>
      <c r="U17" s="142">
        <f>T17/(1+Real_Discount_Rate)^(Calculations!M17-'Assumed Values'!$C$5)</f>
        <v>656.18502518715263</v>
      </c>
    </row>
    <row r="18" spans="1:21" ht="15.75" x14ac:dyDescent="0.25">
      <c r="D18" s="152" t="s">
        <v>94</v>
      </c>
      <c r="E18" s="158">
        <f>($E$6*Incap_Injry_Rate)/100000000</f>
        <v>0.53074274165079804</v>
      </c>
      <c r="L18" s="136"/>
      <c r="M18" s="137">
        <f t="shared" si="1"/>
        <v>2032</v>
      </c>
      <c r="N18" s="145">
        <f t="shared" si="6"/>
        <v>11652.840216988567</v>
      </c>
      <c r="O18" s="146">
        <f t="shared" si="7"/>
        <v>3.0006318621792483E-2</v>
      </c>
      <c r="P18" s="147">
        <f t="shared" si="8"/>
        <v>0.454610895781626</v>
      </c>
      <c r="Q18" s="148">
        <f t="shared" si="4"/>
        <v>1</v>
      </c>
      <c r="R18" s="37">
        <f>IF(M18=Year_Open_to_Traffic?,Calculations!$J$5,Calculations!R17+(Calculations!R17*Calculations!O18*Q18))</f>
        <v>1628753.3198731088</v>
      </c>
      <c r="S18" s="54">
        <f t="shared" si="0"/>
        <v>1</v>
      </c>
      <c r="T18" s="37">
        <f t="shared" si="5"/>
        <v>1628.7533198731087</v>
      </c>
      <c r="U18" s="142">
        <f>T18/(1+Real_Discount_Rate)^(Calculations!M18-'Assumed Values'!$C$5)</f>
        <v>631.6586188109975</v>
      </c>
    </row>
    <row r="19" spans="1:21" ht="15.75" x14ac:dyDescent="0.25">
      <c r="D19" s="152" t="s">
        <v>93</v>
      </c>
      <c r="E19" s="158">
        <f>($E$6*Nonincap_Injry_Rate)/100000000</f>
        <v>1.9396234740329168</v>
      </c>
      <c r="L19" s="136"/>
      <c r="M19" s="144">
        <f t="shared" si="1"/>
        <v>2033</v>
      </c>
      <c r="N19" s="145">
        <f t="shared" si="6"/>
        <v>12002.499053388363</v>
      </c>
      <c r="O19" s="146">
        <f t="shared" si="7"/>
        <v>3.0006318621792483E-2</v>
      </c>
      <c r="P19" s="147">
        <f t="shared" si="8"/>
        <v>0.46825209516938798</v>
      </c>
      <c r="Q19" s="148">
        <f t="shared" si="4"/>
        <v>1</v>
      </c>
      <c r="R19" s="37">
        <f>IF(M19=Year_Open_to_Traffic?,Calculations!$J$5,Calculations!R18+(Calculations!R18*Calculations!O19*Q19))</f>
        <v>1677626.2109455236</v>
      </c>
      <c r="S19" s="54">
        <f t="shared" si="0"/>
        <v>1</v>
      </c>
      <c r="T19" s="37">
        <f t="shared" si="5"/>
        <v>1677.6262109455236</v>
      </c>
      <c r="U19" s="142">
        <f>T19/(1+Real_Discount_Rate)^(Calculations!M19-'Assumed Values'!$C$5)</f>
        <v>608.04894260489868</v>
      </c>
    </row>
    <row r="20" spans="1:21" ht="15.75" x14ac:dyDescent="0.25">
      <c r="D20" s="152" t="s">
        <v>92</v>
      </c>
      <c r="E20" s="158">
        <f>($E$6*Poss_Injry_Rate/100000000)</f>
        <v>3.8888968160958481</v>
      </c>
      <c r="L20" s="136"/>
      <c r="M20" s="137">
        <f t="shared" si="1"/>
        <v>2034</v>
      </c>
      <c r="N20" s="145">
        <f t="shared" si="6"/>
        <v>12362.649864242097</v>
      </c>
      <c r="O20" s="146">
        <f t="shared" si="7"/>
        <v>3.0006318621792483E-2</v>
      </c>
      <c r="P20" s="147">
        <f t="shared" si="8"/>
        <v>0.48230261673236252</v>
      </c>
      <c r="Q20" s="148">
        <f t="shared" si="4"/>
        <v>1</v>
      </c>
      <c r="R20" s="37">
        <f>IF(M20=Year_Open_to_Traffic?,Calculations!$J$5,Calculations!R19+(Calculations!R19*Calculations!O20*Q20))</f>
        <v>1727965.5975594255</v>
      </c>
      <c r="S20" s="54">
        <f t="shared" si="0"/>
        <v>1</v>
      </c>
      <c r="T20" s="37">
        <f t="shared" si="5"/>
        <v>1727.9655975594255</v>
      </c>
      <c r="U20" s="142">
        <f>T20/(1+Real_Discount_Rate)^(Calculations!M20-'Assumed Values'!$C$5)</f>
        <v>585.32173169564987</v>
      </c>
    </row>
    <row r="21" spans="1:21" ht="15.75" x14ac:dyDescent="0.25">
      <c r="D21" s="152" t="s">
        <v>91</v>
      </c>
      <c r="E21" s="158">
        <f>($E$6*Non_Injry_Rate)/100000000</f>
        <v>42.211739385960144</v>
      </c>
      <c r="L21" s="136"/>
      <c r="M21" s="144">
        <f>M20+1</f>
        <v>2035</v>
      </c>
      <c r="N21" s="145">
        <f t="shared" si="6"/>
        <v>12733.607475078206</v>
      </c>
      <c r="O21" s="146">
        <f t="shared" si="7"/>
        <v>3.0006318621792483E-2</v>
      </c>
      <c r="P21" s="147">
        <f>P20*(1+IFERROR(_2025_2040_V_C_Growth,_2018_2045_V_C_Growth))</f>
        <v>0.49677474272215805</v>
      </c>
      <c r="Q21" s="148">
        <f t="shared" si="4"/>
        <v>1</v>
      </c>
      <c r="R21" s="37">
        <f>IF(M21=Year_Open_to_Traffic?,Calculations!$J$5,Calculations!R20+(Calculations!R20*Calculations!O21*Q21))</f>
        <v>1779815.4838472896</v>
      </c>
      <c r="S21" s="54">
        <f t="shared" si="0"/>
        <v>1</v>
      </c>
      <c r="T21" s="37">
        <f t="shared" si="5"/>
        <v>1779.8154838472897</v>
      </c>
      <c r="U21" s="142">
        <f>T21/(1+Real_Discount_Rate)^(Calculations!M21-'Assumed Values'!$C$5)</f>
        <v>563.44400193754097</v>
      </c>
    </row>
    <row r="22" spans="1:21" ht="15.75" x14ac:dyDescent="0.25">
      <c r="D22" s="152" t="s">
        <v>90</v>
      </c>
      <c r="E22" s="158">
        <f>($E$6*Unkn_Injry_Rate)/100000000</f>
        <v>1.8109585669660566</v>
      </c>
      <c r="L22" s="136"/>
      <c r="M22" s="137">
        <f>M21+1</f>
        <v>2036</v>
      </c>
      <c r="N22" s="145">
        <f t="shared" si="6"/>
        <v>13115.696158180241</v>
      </c>
      <c r="O22" s="146">
        <f t="shared" si="7"/>
        <v>3.0006318621792483E-2</v>
      </c>
      <c r="P22" s="147">
        <f t="shared" si="8"/>
        <v>0.51168112393553811</v>
      </c>
      <c r="Q22" s="148">
        <f t="shared" si="4"/>
        <v>1</v>
      </c>
      <c r="R22" s="37">
        <f>IF(M22=Year_Open_to_Traffic?,Calculations!$J$5,Calculations!R21+(Calculations!R21*Calculations!O22*Q22))</f>
        <v>1833221.1943436111</v>
      </c>
      <c r="S22" s="54">
        <f t="shared" si="0"/>
        <v>1</v>
      </c>
      <c r="T22" s="37">
        <f t="shared" si="5"/>
        <v>1833.2211943436112</v>
      </c>
      <c r="U22" s="142">
        <f>T22/(1+Real_Discount_Rate)^(Calculations!M22-'Assumed Values'!$C$5)</f>
        <v>542.38400204225866</v>
      </c>
    </row>
    <row r="23" spans="1:21" ht="15.75" x14ac:dyDescent="0.25">
      <c r="L23" s="136"/>
      <c r="M23" s="144">
        <f t="shared" si="1"/>
        <v>2037</v>
      </c>
      <c r="N23" s="145">
        <f t="shared" si="6"/>
        <v>13509.249916049217</v>
      </c>
      <c r="O23" s="146">
        <f t="shared" si="7"/>
        <v>3.0006318621792483E-2</v>
      </c>
      <c r="P23" s="147">
        <f t="shared" si="8"/>
        <v>0.52703479077310478</v>
      </c>
      <c r="Q23" s="148">
        <f t="shared" si="4"/>
        <v>1</v>
      </c>
      <c r="R23" s="37">
        <f>IF(M23=Year_Open_to_Traffic?,Calculations!$J$5,Calculations!R22+(Calculations!R22*Calculations!O23*Q23))</f>
        <v>1888229.4136053084</v>
      </c>
      <c r="S23" s="54">
        <f t="shared" si="0"/>
        <v>1</v>
      </c>
      <c r="T23" s="37">
        <f t="shared" si="5"/>
        <v>1888.2294136053083</v>
      </c>
      <c r="U23" s="142">
        <f>T23/(1+Real_Discount_Rate)^(Calculations!M23-'Assumed Values'!$C$5)</f>
        <v>522.11116749803875</v>
      </c>
    </row>
    <row r="24" spans="1:21" ht="15.75" x14ac:dyDescent="0.25">
      <c r="L24" s="136"/>
      <c r="M24" s="137">
        <f t="shared" si="1"/>
        <v>2038</v>
      </c>
      <c r="N24" s="145">
        <f t="shared" si="6"/>
        <v>13914.612773371613</v>
      </c>
      <c r="O24" s="146">
        <f t="shared" si="7"/>
        <v>3.0006318621792483E-2</v>
      </c>
      <c r="P24" s="147">
        <f t="shared" si="8"/>
        <v>0.54284916462981225</v>
      </c>
      <c r="Q24" s="148">
        <f t="shared" si="4"/>
        <v>1</v>
      </c>
      <c r="R24" s="37">
        <f>IF(M24=Year_Open_to_Traffic?,Calculations!$J$5,Calculations!R23+(Calculations!R23*Calculations!O24*Q24))</f>
        <v>1944888.2270209896</v>
      </c>
      <c r="S24" s="54">
        <f t="shared" si="0"/>
        <v>1</v>
      </c>
      <c r="T24" s="37">
        <f t="shared" si="5"/>
        <v>1944.8882270209897</v>
      </c>
      <c r="U24" s="142">
        <f>T24/(1+Real_Discount_Rate)^(Calculations!M24-'Assumed Values'!$C$5)</f>
        <v>502.59607621119721</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14332.139077748265</v>
      </c>
      <c r="O25" s="146">
        <f t="shared" si="7"/>
        <v>3.0006318621792483E-2</v>
      </c>
      <c r="P25" s="147">
        <f t="shared" si="8"/>
        <v>0.55913806962726831</v>
      </c>
      <c r="Q25" s="148">
        <f t="shared" si="4"/>
        <v>1</v>
      </c>
      <c r="R25" s="37">
        <f>IF(M25=Year_Open_to_Traffic?,Calculations!$J$5,Calculations!R24+(Calculations!R24*Calculations!O25*Q25))</f>
        <v>2003247.1628447545</v>
      </c>
      <c r="S25" s="54">
        <f t="shared" si="0"/>
        <v>1</v>
      </c>
      <c r="T25" s="37">
        <f t="shared" si="5"/>
        <v>2003.2471628447545</v>
      </c>
      <c r="U25" s="142">
        <f>T25/(1+Real_Discount_Rate)^(Calculations!M25-'Assumed Values'!$C$5)</f>
        <v>483.81040580565707</v>
      </c>
    </row>
    <row r="26" spans="1:21" ht="15.75" x14ac:dyDescent="0.25">
      <c r="A26" s="181"/>
      <c r="B26" s="181"/>
      <c r="D26" s="160">
        <f>Calculations!E17</f>
        <v>0.10936517100683112</v>
      </c>
      <c r="E26" s="160">
        <f>Calculations!E18</f>
        <v>0.53074274165079804</v>
      </c>
      <c r="F26" s="160">
        <f>Calculations!E19</f>
        <v>1.9396234740329168</v>
      </c>
      <c r="G26" s="160">
        <f>Calculations!E20</f>
        <v>3.8888968160958481</v>
      </c>
      <c r="H26" s="160">
        <f>Calculations!E21</f>
        <v>42.211739385960144</v>
      </c>
      <c r="I26" s="160">
        <f>Calculations!E22</f>
        <v>1.8109585669660566</v>
      </c>
      <c r="J26" s="182"/>
      <c r="L26" s="136"/>
      <c r="M26" s="137">
        <f t="shared" si="1"/>
        <v>2040</v>
      </c>
      <c r="N26" s="145">
        <f t="shared" si="6"/>
        <v>14762.193809447022</v>
      </c>
      <c r="O26" s="146">
        <f t="shared" si="7"/>
        <v>3.0006318621792483E-2</v>
      </c>
      <c r="P26" s="147">
        <f t="shared" si="8"/>
        <v>0.57591574469807816</v>
      </c>
      <c r="Q26" s="148">
        <f t="shared" si="4"/>
        <v>1</v>
      </c>
      <c r="R26" s="37">
        <f>IF(M26=Year_Open_to_Traffic?,Calculations!$J$5,Calculations!R25+(Calculations!R25*Calculations!O26*Q26))</f>
        <v>2063357.235491276</v>
      </c>
      <c r="S26" s="54">
        <f t="shared" si="0"/>
        <v>1</v>
      </c>
      <c r="T26" s="37">
        <f t="shared" si="5"/>
        <v>2063.3572354912762</v>
      </c>
      <c r="U26" s="142">
        <f>T26/(1+Real_Discount_Rate)^(Calculations!M26-'Assumed Values'!$C$5)</f>
        <v>465.72689251850505</v>
      </c>
    </row>
    <row r="27" spans="1:21" ht="15.75" x14ac:dyDescent="0.25">
      <c r="A27" s="161" t="s">
        <v>95</v>
      </c>
      <c r="B27" s="162" t="s">
        <v>96</v>
      </c>
      <c r="D27" s="163">
        <f>D$26*'Value of Statistical Life'!D17*Appropriate_Crash_Reduction_Factor</f>
        <v>0</v>
      </c>
      <c r="E27" s="163">
        <f>E$26*'Value of Statistical Life'!E17*Appropriate_Crash_Reduction_Factor</f>
        <v>1.0032895416795862E-2</v>
      </c>
      <c r="F27" s="163">
        <f>F$26*'Value of Statistical Life'!F17*Appropriate_Crash_Reduction_Factor</f>
        <v>8.9045204257640176E-2</v>
      </c>
      <c r="G27" s="163">
        <f>G$26*'Value of Statistical Life'!G17*Appropriate_Crash_Reduction_Factor</f>
        <v>0.50129241073361119</v>
      </c>
      <c r="H27" s="163">
        <f>H$26*'Value of Statistical Life'!H17*Appropriate_Crash_Reduction_Factor</f>
        <v>21.4831160078724</v>
      </c>
      <c r="I27" s="163">
        <f>I$26*'Value of Statistical Life'!I17*Appropriate_Crash_Reduction_Factor</f>
        <v>0.43502484503945221</v>
      </c>
      <c r="J27" s="163">
        <f t="shared" ref="J27:J33" si="9">SUM(D27:I27)</f>
        <v>22.518511363319902</v>
      </c>
      <c r="K27" s="164"/>
      <c r="L27" s="136"/>
      <c r="M27" s="144">
        <f t="shared" si="1"/>
        <v>2041</v>
      </c>
      <c r="N27" s="145">
        <f t="shared" si="6"/>
        <v>15205.152900449943</v>
      </c>
      <c r="O27" s="146">
        <f t="shared" si="7"/>
        <v>3.0006318621792483E-2</v>
      </c>
      <c r="P27" s="147">
        <f t="shared" si="8"/>
        <v>0.59319685603279559</v>
      </c>
      <c r="Q27" s="148">
        <f t="shared" si="4"/>
        <v>1</v>
      </c>
      <c r="R27" s="37">
        <f>IF(M27=Year_Open_to_Traffic?,Calculations!$J$5,Calculations!R26+(Calculations!R26*Calculations!O27*Q27))</f>
        <v>2125270.9901300082</v>
      </c>
      <c r="S27" s="54">
        <f t="shared" si="0"/>
        <v>1</v>
      </c>
      <c r="T27" s="37">
        <f t="shared" si="5"/>
        <v>2125.2709901300082</v>
      </c>
      <c r="U27" s="142">
        <f>T27/(1+Real_Discount_Rate)^(Calculations!M27-'Assumed Values'!$C$5)</f>
        <v>448.3192916319183</v>
      </c>
    </row>
    <row r="28" spans="1:21" ht="15.75" x14ac:dyDescent="0.25">
      <c r="A28" s="161" t="s">
        <v>61</v>
      </c>
      <c r="B28" s="165" t="s">
        <v>62</v>
      </c>
      <c r="D28" s="163">
        <f>D$26*'Value of Statistical Life'!D18*Appropriate_Crash_Reduction_Factor</f>
        <v>0</v>
      </c>
      <c r="E28" s="163">
        <f>E$26*'Value of Statistical Life'!E18*Appropriate_Crash_Reduction_Factor</f>
        <v>0.16186034854987305</v>
      </c>
      <c r="F28" s="163">
        <f>F$26*'Value of Statistical Life'!F18*Appropriate_Crash_Reduction_Factor</f>
        <v>0.81975567638311286</v>
      </c>
      <c r="G28" s="163">
        <f>G$26*'Value of Statistical Life'!G18*Appropriate_Crash_Reduction_Factor</f>
        <v>1.4746813393539939</v>
      </c>
      <c r="H28" s="163">
        <f>H$26*'Value of Statistical Life'!H18*Appropriate_Crash_Reduction_Factor</f>
        <v>1.6848182599815202</v>
      </c>
      <c r="I28" s="163">
        <f>I$26*'Value of Statistical Life'!I18*Appropriate_Crash_Reduction_Factor</f>
        <v>0.41573179794627935</v>
      </c>
      <c r="J28" s="163">
        <f t="shared" si="9"/>
        <v>4.5568474222147799</v>
      </c>
      <c r="K28" s="164"/>
      <c r="L28" s="136"/>
      <c r="M28" s="137">
        <f t="shared" si="1"/>
        <v>2042</v>
      </c>
      <c r="N28" s="145">
        <f t="shared" si="6"/>
        <v>15661.403563073916</v>
      </c>
      <c r="O28" s="146">
        <f t="shared" si="7"/>
        <v>3.0006318621792483E-2</v>
      </c>
      <c r="P28" s="147">
        <f t="shared" si="8"/>
        <v>0.61099650990036125</v>
      </c>
      <c r="Q28" s="148">
        <f t="shared" si="4"/>
        <v>1</v>
      </c>
      <c r="R28" s="37">
        <f>IF(M28=Year_Open_to_Traffic?,Calculations!$J$5,Calculations!R27+(Calculations!R27*Calculations!O28*Q28))</f>
        <v>2189042.5486175017</v>
      </c>
      <c r="S28" s="54">
        <f t="shared" si="0"/>
        <v>1</v>
      </c>
      <c r="T28" s="37">
        <f t="shared" si="5"/>
        <v>2189.0425486175018</v>
      </c>
      <c r="U28" s="142">
        <f>T28/(1+Real_Discount_Rate)^(Calculations!M28-'Assumed Values'!$C$5)</f>
        <v>431.56233938403921</v>
      </c>
    </row>
    <row r="29" spans="1:21" ht="15.75" x14ac:dyDescent="0.25">
      <c r="A29" s="161" t="s">
        <v>63</v>
      </c>
      <c r="B29" s="165" t="s">
        <v>64</v>
      </c>
      <c r="D29" s="163">
        <f>D$26*'Value of Statistical Life'!D19*Appropriate_Crash_Reduction_Factor</f>
        <v>0</v>
      </c>
      <c r="E29" s="163">
        <f>E$26*'Value of Statistical Life'!E19*Appropriate_Crash_Reduction_Factor</f>
        <v>6.1032230833391876E-2</v>
      </c>
      <c r="F29" s="163">
        <f>F$26*'Value of Statistical Life'!F19*Appropriate_Crash_Reduction_Factor</f>
        <v>0.11625909141005901</v>
      </c>
      <c r="G29" s="163">
        <f>G$26*'Value of Statistical Life'!G19*Appropriate_Crash_Reduction_Factor</f>
        <v>0.13669666753417711</v>
      </c>
      <c r="H29" s="163">
        <f>H$26*'Value of Statistical Life'!H19*Appropriate_Crash_Reduction_Factor</f>
        <v>4.5968584191310599E-2</v>
      </c>
      <c r="I29" s="163">
        <f>I$26*'Value of Statistical Life'!I19*Appropriate_Crash_Reduction_Factor</f>
        <v>8.8367534233675701E-2</v>
      </c>
      <c r="J29" s="163">
        <f t="shared" si="9"/>
        <v>0.44832410820261431</v>
      </c>
      <c r="K29" s="164"/>
      <c r="L29" s="136"/>
      <c r="M29" s="144">
        <f t="shared" si="1"/>
        <v>2043</v>
      </c>
      <c r="N29" s="145">
        <f t="shared" si="6"/>
        <v>16131.344628451989</v>
      </c>
      <c r="O29" s="146">
        <f t="shared" si="7"/>
        <v>3.0006318621792483E-2</v>
      </c>
      <c r="P29" s="147">
        <f t="shared" si="8"/>
        <v>0.6293302658532347</v>
      </c>
      <c r="Q29" s="148">
        <f t="shared" si="4"/>
        <v>1</v>
      </c>
      <c r="R29" s="37">
        <f>IF(M29=Year_Open_to_Traffic?,Calculations!$J$5,Calculations!R28+(Calculations!R28*Calculations!O29*Q29))</f>
        <v>2254727.6568079791</v>
      </c>
      <c r="S29" s="54">
        <f t="shared" si="0"/>
        <v>1</v>
      </c>
      <c r="T29" s="37">
        <f t="shared" si="5"/>
        <v>2254.7276568079792</v>
      </c>
      <c r="U29" s="142">
        <f>T29/(1+Real_Discount_Rate)^(Calculations!M29-'Assumed Values'!$C$5)</f>
        <v>415.43171630351662</v>
      </c>
    </row>
    <row r="30" spans="1:21" ht="15.75" x14ac:dyDescent="0.25">
      <c r="A30" s="161" t="s">
        <v>65</v>
      </c>
      <c r="B30" s="165" t="s">
        <v>66</v>
      </c>
      <c r="D30" s="163">
        <f>D$26*'Value of Statistical Life'!D20*Appropriate_Crash_Reduction_Factor</f>
        <v>0</v>
      </c>
      <c r="E30" s="163">
        <f>E$26*'Value of Statistical Life'!E20*Appropriate_Crash_Reduction_Factor</f>
        <v>4.2142831286669145E-2</v>
      </c>
      <c r="F30" s="163">
        <f>F$26*'Value of Statistical Life'!F20*Appropriate_Crash_Reduction_Factor</f>
        <v>3.404136178101471E-2</v>
      </c>
      <c r="G30" s="163">
        <f>G$26*'Value of Statistical Life'!G20*Appropriate_Crash_Reduction_Factor</f>
        <v>2.29075466952126E-2</v>
      </c>
      <c r="H30" s="163">
        <f>H$26*'Value of Statistical Life'!H20*Appropriate_Crash_Reduction_Factor</f>
        <v>1.8573165329822466E-3</v>
      </c>
      <c r="I30" s="163">
        <f>I$26*'Value of Statistical Life'!I20*Appropriate_Crash_Reduction_Factor</f>
        <v>4.797863079391522E-2</v>
      </c>
      <c r="J30" s="163">
        <f t="shared" si="9"/>
        <v>0.14892768708979393</v>
      </c>
      <c r="K30" s="164"/>
      <c r="L30" s="136"/>
      <c r="M30" s="144">
        <f t="shared" si="1"/>
        <v>2044</v>
      </c>
      <c r="N30" s="145">
        <f t="shared" si="6"/>
        <v>16615.386895171261</v>
      </c>
      <c r="O30" s="146">
        <f t="shared" si="7"/>
        <v>3.0006318621792483E-2</v>
      </c>
      <c r="P30" s="147">
        <f t="shared" si="8"/>
        <v>0.64821415032876428</v>
      </c>
      <c r="Q30" s="148">
        <f t="shared" si="4"/>
        <v>1</v>
      </c>
      <c r="R30" s="37">
        <f>IF(M30=Year_Open_to_Traffic?,Calculations!$J$5,Calculations!R29+(Calculations!R29*Calculations!O30*Q30))</f>
        <v>2322383.7332835267</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1.1635473125210445E-2</v>
      </c>
      <c r="F31" s="163">
        <f>F$26*'Value of Statistical Life'!F21*Appropriate_Crash_Reduction_Factor</f>
        <v>6.6141160464522472E-3</v>
      </c>
      <c r="G31" s="163">
        <f>G$26*'Value of Statistical Life'!G21*Appropriate_Crash_Reduction_Factor</f>
        <v>3.0372284133708578E-3</v>
      </c>
      <c r="H31" s="163">
        <f>H$26*'Value of Statistical Life'!H21*Appropriate_Crash_Reduction_Factor</f>
        <v>0</v>
      </c>
      <c r="I31" s="163">
        <f>I$26*'Value of Statistical Life'!I21*Appropriate_Crash_Reduction_Factor</f>
        <v>6.1454878969993141E-3</v>
      </c>
      <c r="J31" s="163">
        <f t="shared" si="9"/>
        <v>2.7432305482032862E-2</v>
      </c>
      <c r="K31" s="164"/>
      <c r="L31" s="136"/>
      <c r="M31" s="144">
        <f t="shared" si="1"/>
        <v>2045</v>
      </c>
      <c r="N31" s="145">
        <f t="shared" si="6"/>
        <v>17113.953488372124</v>
      </c>
      <c r="O31" s="146">
        <f t="shared" si="7"/>
        <v>3.0006318621792483E-2</v>
      </c>
      <c r="P31" s="147">
        <f t="shared" si="8"/>
        <v>0.66766467065868362</v>
      </c>
      <c r="Q31" s="148">
        <f t="shared" si="4"/>
        <v>1</v>
      </c>
      <c r="R31" s="37">
        <f>IF(M31=Year_Open_to_Traffic?,Calculations!$J$5,Calculations!R30+(Calculations!R30*Calculations!O31*Q31))</f>
        <v>2392069.9195465003</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5.2047286959985509E-3</v>
      </c>
      <c r="F32" s="163">
        <f>F$26*'Value of Statistical Life'!F22*Appropriate_Crash_Reduction_Factor</f>
        <v>1.0774608398252854E-3</v>
      </c>
      <c r="G32" s="163">
        <f>G$26*'Value of Statistical Life'!G22*Appropriate_Crash_Reduction_Factor</f>
        <v>2.7805612235085319E-4</v>
      </c>
      <c r="H32" s="163">
        <f>H$26*'Value of Statistical Life'!H22*Appropriate_Crash_Reduction_Factor</f>
        <v>6.9649369986834249E-4</v>
      </c>
      <c r="I32" s="163">
        <f>I$26*'Value of Statistical Life'!I22*Appropriate_Crash_Reduction_Factor</f>
        <v>2.778915921009414E-3</v>
      </c>
      <c r="J32" s="163">
        <f t="shared" si="9"/>
        <v>1.0035655279052445E-2</v>
      </c>
      <c r="K32" s="164"/>
      <c r="L32" s="136"/>
      <c r="M32" s="144">
        <f t="shared" si="1"/>
        <v>2046</v>
      </c>
      <c r="N32" s="145">
        <f t="shared" si="6"/>
        <v>17627.480229622757</v>
      </c>
      <c r="O32" s="146">
        <f t="shared" si="7"/>
        <v>3.0006318621792483E-2</v>
      </c>
      <c r="P32" s="147">
        <f t="shared" si="8"/>
        <v>0.6876988294989822</v>
      </c>
      <c r="Q32" s="148">
        <f t="shared" si="4"/>
        <v>1</v>
      </c>
      <c r="R32" s="37">
        <f>IF(M32=Year_Open_to_Traffic?,Calculations!$J$5,Calculations!R31+(Calculations!R31*Calculations!O32*Q32))</f>
        <v>2463847.1317180181</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6.0150844053757119E-2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6.0150844053757119E-2</v>
      </c>
      <c r="K33" s="164"/>
      <c r="L33" s="136"/>
      <c r="M33" s="144">
        <f t="shared" si="1"/>
        <v>2047</v>
      </c>
      <c r="N33" s="145">
        <f t="shared" si="6"/>
        <v>18156.416017892167</v>
      </c>
      <c r="O33" s="146">
        <f t="shared" si="7"/>
        <v>3.0006318621792483E-2</v>
      </c>
      <c r="P33" s="147">
        <f t="shared" si="8"/>
        <v>0.70833413969276238</v>
      </c>
      <c r="Q33" s="148">
        <f t="shared" si="4"/>
        <v>1</v>
      </c>
      <c r="R33" s="37">
        <f>IF(M33=Year_Open_to_Traffic?,Calculations!$J$5,Calculations!R32+(Calculations!R32*Calculations!O33*Q33))</f>
        <v>2537778.1137877386</v>
      </c>
      <c r="S33" s="54">
        <f t="shared" si="0"/>
        <v>0</v>
      </c>
      <c r="T33" s="37">
        <f t="shared" si="5"/>
        <v>0</v>
      </c>
      <c r="U33" s="142">
        <f>T33/(1+Real_Discount_Rate)^(Calculations!M33-'Assumed Values'!$C$5)</f>
        <v>0</v>
      </c>
    </row>
    <row r="34" spans="1:21" ht="15.75" x14ac:dyDescent="0.25">
      <c r="J34" s="166"/>
      <c r="L34" s="136"/>
      <c r="M34" s="144">
        <f t="shared" si="1"/>
        <v>2048</v>
      </c>
      <c r="N34" s="145">
        <f t="shared" si="6"/>
        <v>18701.223221954857</v>
      </c>
      <c r="O34" s="146">
        <f t="shared" si="7"/>
        <v>3.0006318621792483E-2</v>
      </c>
      <c r="P34" s="147">
        <f t="shared" si="8"/>
        <v>0.72958863957907671</v>
      </c>
      <c r="Q34" s="148">
        <f t="shared" si="4"/>
        <v>1</v>
      </c>
      <c r="R34" s="37">
        <f>IF(M34=Year_Open_to_Traffic?,Calculations!$J$5,Calculations!R33+(Calculations!R33*Calculations!O34*Q34))</f>
        <v>2613927.4924614648</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19262.3780845701</v>
      </c>
      <c r="O35" s="146">
        <f t="shared" si="7"/>
        <v>3.0006318621792483E-2</v>
      </c>
      <c r="P35" s="147">
        <f t="shared" si="8"/>
        <v>0.75148090876112661</v>
      </c>
      <c r="Q35" s="148">
        <f t="shared" si="4"/>
        <v>1</v>
      </c>
      <c r="R35" s="37">
        <f>IF(M35=Year_Open_to_Traffic?,Calculations!$J$5,Calculations!R34+(Calculations!R34*Calculations!O35*Q35))</f>
        <v>2692361.8336545266</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19840.371138789145</v>
      </c>
      <c r="O36" s="146">
        <f t="shared" si="7"/>
        <v>3.0006318621792483E-2</v>
      </c>
      <c r="P36" s="147">
        <f t="shared" si="8"/>
        <v>0.77403008434760712</v>
      </c>
      <c r="Q36" s="148">
        <f t="shared" si="4"/>
        <v>1</v>
      </c>
      <c r="R36" s="37">
        <f>IF(M36=Year_Open_to_Traffic?,Calculations!$J$5,Calculations!R35+(Calculations!R35*Calculations!O36*Q36))</f>
        <v>2773149.7006803178</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12221.487034022917</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2018-08-02T18:58:13Z</cp:lastPrinted>
  <dcterms:created xsi:type="dcterms:W3CDTF">2012-07-25T15:48:32Z</dcterms:created>
  <dcterms:modified xsi:type="dcterms:W3CDTF">2018-10-25T15:09:11Z</dcterms:modified>
</cp:coreProperties>
</file>