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9_HW_SH288/"/>
    </mc:Choice>
  </mc:AlternateContent>
  <xr:revisionPtr revIDLastSave="3" documentId="10_ncr:100000_{0C8B9B85-48D2-4A7E-8950-01D4652D97D8}" xr6:coauthVersionLast="40" xr6:coauthVersionMax="40" xr10:uidLastSave="{BF10D019-E6DA-465F-BBA7-28AD9B44490B}"/>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S4" i="12"/>
  <c r="T4" i="12"/>
  <c r="U4" i="12"/>
  <c r="N4" i="12"/>
  <c r="B11" i="12"/>
  <c r="B10" i="12"/>
  <c r="O33" i="12"/>
  <c r="B9"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c r="B14" i="12"/>
  <c r="B13" i="12"/>
  <c r="I24" i="9"/>
  <c r="H24" i="9"/>
  <c r="G24" i="9"/>
  <c r="F24" i="9"/>
  <c r="E24" i="9"/>
  <c r="D24" i="9"/>
  <c r="O17"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B16" i="12"/>
  <c r="B17" i="12"/>
  <c r="Q4" i="12"/>
  <c r="O32" i="12"/>
  <c r="B15" i="12"/>
  <c r="P5" i="12"/>
  <c r="O18" i="12"/>
  <c r="O29" i="12"/>
  <c r="O7" i="12"/>
  <c r="O15" i="12"/>
  <c r="O5" i="12"/>
  <c r="O31" i="12"/>
  <c r="O6" i="12"/>
  <c r="O20" i="12"/>
  <c r="O14" i="12"/>
  <c r="O25" i="12"/>
  <c r="O28" i="12"/>
  <c r="O36" i="12"/>
  <c r="O23" i="12"/>
  <c r="O26" i="12"/>
  <c r="O30" i="12"/>
  <c r="O9" i="12"/>
  <c r="O22" i="12"/>
  <c r="O27" i="12"/>
  <c r="O11" i="12"/>
  <c r="O34" i="12"/>
  <c r="O12" i="12"/>
  <c r="O16" i="12"/>
  <c r="O19" i="12"/>
  <c r="O13" i="12"/>
  <c r="O8" i="12"/>
  <c r="O35" i="12"/>
  <c r="O10" i="12"/>
  <c r="O21" i="12"/>
  <c r="O24" i="12"/>
  <c r="Q5" i="12"/>
  <c r="R5" i="12"/>
  <c r="P6" i="12"/>
  <c r="N5" i="12"/>
  <c r="N6" i="12"/>
  <c r="N7" i="12"/>
  <c r="N8" i="12"/>
  <c r="N9" i="12"/>
  <c r="T5" i="12"/>
  <c r="U5" i="12"/>
  <c r="Q6" i="12"/>
  <c r="R6" i="12"/>
  <c r="P7" i="12"/>
  <c r="E4" i="12"/>
  <c r="E5" i="12"/>
  <c r="E6"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T6" i="12"/>
  <c r="U6" i="12"/>
  <c r="E19" i="12"/>
  <c r="F26" i="12"/>
  <c r="E22" i="12"/>
  <c r="I26" i="12"/>
  <c r="E21" i="12"/>
  <c r="H26" i="12"/>
  <c r="E20" i="12"/>
  <c r="G26" i="12"/>
  <c r="E18" i="12"/>
  <c r="E26" i="12"/>
  <c r="E17" i="12"/>
  <c r="D26" i="12"/>
  <c r="Q7" i="12"/>
  <c r="R7" i="12"/>
  <c r="P8" i="12"/>
  <c r="T7" i="12"/>
  <c r="U7" i="12"/>
  <c r="E30" i="12"/>
  <c r="E28" i="12"/>
  <c r="E31" i="12"/>
  <c r="E33" i="12"/>
  <c r="E27" i="12"/>
  <c r="E32" i="12"/>
  <c r="E29" i="12"/>
  <c r="D29" i="12"/>
  <c r="D32" i="12"/>
  <c r="D28" i="12"/>
  <c r="D30" i="12"/>
  <c r="D27" i="12"/>
  <c r="D31" i="12"/>
  <c r="D33" i="12"/>
  <c r="H28" i="12"/>
  <c r="H31" i="12"/>
  <c r="H30" i="12"/>
  <c r="H32" i="12"/>
  <c r="H27" i="12"/>
  <c r="H29" i="12"/>
  <c r="H33" i="12"/>
  <c r="Q8" i="12"/>
  <c r="R8" i="12"/>
  <c r="T8" i="12"/>
  <c r="U8" i="12"/>
  <c r="P9" i="12"/>
  <c r="G29" i="12"/>
  <c r="G31" i="12"/>
  <c r="G33" i="12"/>
  <c r="G27" i="12"/>
  <c r="G28" i="12"/>
  <c r="G30" i="12"/>
  <c r="G32" i="12"/>
  <c r="I33" i="12"/>
  <c r="I30" i="12"/>
  <c r="I31" i="12"/>
  <c r="I29" i="12"/>
  <c r="I32" i="12"/>
  <c r="I27" i="12"/>
  <c r="I28" i="12"/>
  <c r="F33" i="12"/>
  <c r="F32" i="12"/>
  <c r="F30" i="12"/>
  <c r="F27" i="12"/>
  <c r="F28" i="12"/>
  <c r="F29" i="12"/>
  <c r="F31" i="12"/>
  <c r="J29" i="12"/>
  <c r="P10" i="12"/>
  <c r="Q9" i="12"/>
  <c r="J33" i="12"/>
  <c r="J31" i="12"/>
  <c r="J30" i="12"/>
  <c r="J27" i="12"/>
  <c r="J28" i="12"/>
  <c r="J32" i="12"/>
  <c r="J5" i="12"/>
  <c r="R9" i="12"/>
  <c r="T9" i="12"/>
  <c r="U9" i="12"/>
  <c r="Q10" i="12"/>
  <c r="R10" i="12"/>
  <c r="P11" i="12"/>
  <c r="T10" i="12"/>
  <c r="U10" i="12"/>
  <c r="Q11" i="12"/>
  <c r="R11" i="12"/>
  <c r="P12" i="12"/>
  <c r="T11" i="12"/>
  <c r="U11" i="12"/>
  <c r="Q12" i="12"/>
  <c r="R12" i="12"/>
  <c r="P13" i="12"/>
  <c r="T12" i="12"/>
  <c r="U12" i="12"/>
  <c r="P14" i="12"/>
  <c r="Q13" i="12"/>
  <c r="R13" i="12"/>
  <c r="T13" i="12"/>
  <c r="U13" i="12"/>
  <c r="P15" i="12"/>
  <c r="Q14" i="12"/>
  <c r="R14" i="12"/>
  <c r="T14" i="12"/>
  <c r="U14" i="12"/>
  <c r="P16" i="12"/>
  <c r="Q15" i="12"/>
  <c r="R15" i="12"/>
  <c r="T15" i="12"/>
  <c r="U15" i="12"/>
  <c r="P17" i="12"/>
  <c r="Q16" i="12"/>
  <c r="R16" i="12"/>
  <c r="T16" i="12"/>
  <c r="U16" i="12"/>
  <c r="Q17" i="12"/>
  <c r="R17" i="12"/>
  <c r="P18" i="12"/>
  <c r="Q18" i="12"/>
  <c r="R18" i="12"/>
  <c r="P19" i="12"/>
  <c r="T17" i="12"/>
  <c r="U17" i="12"/>
  <c r="T18" i="12"/>
  <c r="U18" i="12"/>
  <c r="P20" i="12"/>
  <c r="Q19" i="12"/>
  <c r="R19" i="12"/>
  <c r="T19" i="12"/>
  <c r="U19" i="12"/>
  <c r="P21" i="12"/>
  <c r="Q20" i="12"/>
  <c r="R20" i="12"/>
  <c r="T20" i="12"/>
  <c r="U20" i="12"/>
  <c r="P22" i="12"/>
  <c r="Q21" i="12"/>
  <c r="R21" i="12"/>
  <c r="T21" i="12"/>
  <c r="U21" i="12"/>
  <c r="P23" i="12"/>
  <c r="Q22" i="12"/>
  <c r="R22" i="12"/>
  <c r="T22" i="12"/>
  <c r="U22" i="12"/>
  <c r="P24" i="12"/>
  <c r="Q23" i="12"/>
  <c r="R23" i="12"/>
  <c r="T23" i="12"/>
  <c r="U23" i="12"/>
  <c r="P25" i="12"/>
  <c r="Q24" i="12"/>
  <c r="R24" i="12"/>
  <c r="T24" i="12"/>
  <c r="U24" i="12"/>
  <c r="P26" i="12"/>
  <c r="Q25" i="12"/>
  <c r="R25" i="12"/>
  <c r="T25" i="12"/>
  <c r="U25" i="12"/>
  <c r="P27" i="12"/>
  <c r="Q26" i="12"/>
  <c r="R26" i="12"/>
  <c r="T26" i="12"/>
  <c r="U26" i="12"/>
  <c r="P28" i="12"/>
  <c r="Q27" i="12"/>
  <c r="R27" i="12"/>
  <c r="T27" i="12"/>
  <c r="U27" i="12"/>
  <c r="P29" i="12"/>
  <c r="Q28" i="12"/>
  <c r="R28" i="12"/>
  <c r="T28" i="12"/>
  <c r="U28" i="12"/>
  <c r="P30" i="12"/>
  <c r="Q29" i="12"/>
  <c r="R29" i="12"/>
  <c r="T29" i="12"/>
  <c r="U29" i="12"/>
  <c r="P31" i="12"/>
  <c r="Q30" i="12"/>
  <c r="R30" i="12"/>
  <c r="T30" i="12"/>
  <c r="U30" i="12"/>
  <c r="Q31" i="12"/>
  <c r="R31" i="12"/>
  <c r="P32" i="12"/>
  <c r="T31" i="12"/>
  <c r="U31" i="12"/>
  <c r="Q32" i="12"/>
  <c r="R32" i="12"/>
  <c r="P33" i="12"/>
  <c r="T32" i="12"/>
  <c r="U32" i="12"/>
  <c r="P34" i="12"/>
  <c r="Q33" i="12"/>
  <c r="R33" i="12"/>
  <c r="T33" i="12"/>
  <c r="U33" i="12"/>
  <c r="Q34" i="12"/>
  <c r="R34" i="12"/>
  <c r="P35" i="12"/>
  <c r="T34" i="12"/>
  <c r="U34" i="12"/>
  <c r="Q35" i="12"/>
  <c r="R35" i="12"/>
  <c r="P36" i="12"/>
  <c r="Q36" i="12"/>
  <c r="R36" i="12"/>
  <c r="T36" i="12"/>
  <c r="U36" i="12"/>
  <c r="T35" i="12"/>
  <c r="U35"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<sst xmlns="http://schemas.openxmlformats.org/spreadsheetml/2006/main" count="441" uniqueCount="286">
  <si>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</si>
  <si>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</si>
  <si>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</si>
  <si>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</si>
  <si>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</si>
  <si>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</si>
  <si>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</si>
  <si>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</si>
  <si>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</si>
  <si>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</si>
  <si>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</si>
  <si>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</si>
  <si>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</si>
  <si>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</si>
  <si>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</si>
  <si>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</si>
  <si>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</si>
  <si>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</si>
  <si>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</si>
  <si>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</si>
  <si>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</si>
  <si>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</si>
  <si>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</si>
  <si>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</si>
  <si>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</si>
  <si>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</si>
  <si>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</si>
  <si>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</si>
  <si>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</si>
  <si>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</si>
  <si>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</si>
  <si>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</si>
  <si>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</si>
  <si>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</si>
  <si>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</si>
  <si>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</si>
  <si>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</si>
  <si>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</si>
  <si>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</si>
  <si>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</si>
  <si>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</si>
  <si>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</si>
  <si>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</si>
  <si>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</si>
  <si>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</si>
  <si>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</si>
  <si>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</si>
  <si>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</si>
  <si>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288/CR 64 Grade Separation</t>
  </si>
  <si>
    <t>County</t>
  </si>
  <si>
    <t>Brazoria</t>
  </si>
  <si>
    <t>Data entered by the sponsors</t>
  </si>
  <si>
    <t>Facility Type</t>
  </si>
  <si>
    <t>Non-Freeway</t>
  </si>
  <si>
    <t>HGAC regional travel demand model data provided by HGAC upon request</t>
  </si>
  <si>
    <t>Street Name:</t>
  </si>
  <si>
    <t>SH 288</t>
  </si>
  <si>
    <t>Populated based on selection in cell "C18"</t>
  </si>
  <si>
    <t>Limits (From)</t>
  </si>
  <si>
    <t>At CR 64</t>
  </si>
  <si>
    <t>Benefits calculated by the template</t>
  </si>
  <si>
    <t>Limits (To)</t>
  </si>
  <si>
    <t>.</t>
  </si>
  <si>
    <t>Length (in Miles)</t>
  </si>
  <si>
    <t>Application ID Number:</t>
  </si>
  <si>
    <t>Sponsor ID Number (CSJ, etc.):</t>
  </si>
  <si>
    <t>0598-02-114</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</si>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</sst>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0" zoomScaleNormal="100" workbookViewId="0" xr3:uid="{51F8DEE0-4D01-5F28-A812-FC0BD7CAC4A5}">
      <selection activeCell="C32" sqref="C32"/>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ht="30">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1.89</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2023</v>
      </c>
      <c r="D17" s="80"/>
    </row>
    <row r="18" spans="2:13">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61486</v>
      </c>
      <c r="D25" s="82"/>
      <c r="I25" s="41"/>
    </row>
    <row r="26" spans="2:13">
      <c r="I26" s="41"/>
    </row>
    <row r="27" spans="2:13">
      <c r="B27" s="73" t="s">
        <v>76</v>
      </c>
      <c r="C27" s="74">
        <v>27580</v>
      </c>
      <c r="D27" s="82"/>
      <c r="I27" s="41"/>
    </row>
    <row r="28" spans="2:13">
      <c r="B28" s="73" t="s">
        <v>77</v>
      </c>
      <c r="C28" s="74">
        <v>60186</v>
      </c>
      <c r="D28" s="82"/>
      <c r="I28" s="41"/>
    </row>
    <row r="29" spans="2:13">
      <c r="B29" s="73" t="s">
        <v>78</v>
      </c>
      <c r="C29" s="75">
        <v>30039</v>
      </c>
      <c r="D29" s="58"/>
      <c r="I29" s="41"/>
    </row>
    <row r="30" spans="2:13">
      <c r="B30" s="73" t="s">
        <v>79</v>
      </c>
      <c r="C30" s="75">
        <v>60186</v>
      </c>
      <c r="D30" s="58"/>
      <c r="I30" s="41"/>
    </row>
    <row r="31" spans="2:13">
      <c r="B31" s="73" t="s">
        <v>80</v>
      </c>
      <c r="C31" s="74">
        <v>35876</v>
      </c>
      <c r="D31" s="82"/>
      <c r="H31" s="59"/>
    </row>
    <row r="32" spans="2:13">
      <c r="B32" s="73" t="s">
        <v>81</v>
      </c>
      <c r="C32" s="74">
        <v>60186</v>
      </c>
      <c r="D32" s="82"/>
    </row>
    <row r="34" spans="2:9" ht="18.75">
      <c r="B34" s="43" t="s">
        <v>82</v>
      </c>
      <c r="C34" s="44"/>
      <c r="D34" s="44"/>
      <c r="E34" s="44"/>
      <c r="F34" s="44"/>
      <c r="I34" s="59"/>
    </row>
    <row r="36" spans="2:9">
      <c r="B36" s="9" t="s">
        <v>83</v>
      </c>
    </row>
    <row r="37" spans="2:9">
      <c r="B37" s="8" t="s">
        <v>84</v>
      </c>
      <c r="C37" s="34">
        <f>Calculations!U37</f>
        <v>112393.47100318559</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ColWidth="9.140625"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65353.667087460606</v>
      </c>
      <c r="G4" s="136" t="s">
        <v>95</v>
      </c>
      <c r="H4" s="136"/>
      <c r="I4" s="136"/>
      <c r="J4" s="136"/>
      <c r="L4" s="106"/>
      <c r="M4" s="107">
        <v>2018</v>
      </c>
      <c r="N4" s="108">
        <f>_2018_Volume_ADT</f>
        <v>61486</v>
      </c>
      <c r="O4" s="109" t="s">
        <v>96</v>
      </c>
      <c r="P4" s="110">
        <f>MIN(B12,1)</f>
        <v>0.45824610374505698</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30</v>
      </c>
      <c r="D5" s="104" t="s">
        <v>98</v>
      </c>
      <c r="E5" s="105">
        <f>$E$4*'Inputs &amp; Outputs'!$C$12</f>
        <v>123518.43079530053</v>
      </c>
      <c r="G5" s="137" t="s">
        <v>99</v>
      </c>
      <c r="H5" s="137"/>
      <c r="I5" s="137"/>
      <c r="J5" s="111">
        <f>SUMPRODUCT(Possible_Crash_Reductions,'Value of Statistical Life'!E5:E11)</f>
        <v>11082769.999328161</v>
      </c>
      <c r="L5" s="106"/>
      <c r="M5" s="11">
        <f t="shared" ref="M5:M36" si="1">M4+1</f>
        <v>2019</v>
      </c>
      <c r="N5" s="112">
        <f>N4+(N4*O5)</f>
        <v>62240.774024022168</v>
      </c>
      <c r="O5" s="113">
        <f t="shared" ref="O5:O11" si="2">IF(ISERROR(_2025_2045_Demand_Growth),_2018_2045_Demand_Growth,_2018_2025_Demand_Growth)</f>
        <v>1.2275542790589178E-2</v>
      </c>
      <c r="P5" s="114">
        <f t="shared" ref="P5:P11" si="3">P4*(1+IFERROR(_2018_2025_V_C_Growth,_2018_2045_V_C_Growth))</f>
        <v>0.46387132340020021</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32114792.00677814</v>
      </c>
      <c r="L6" s="106"/>
      <c r="M6" s="107">
        <f t="shared" si="1"/>
        <v>2020</v>
      </c>
      <c r="N6" s="112">
        <f t="shared" ref="N6:N36" si="6">N5+(N5*O6)</f>
        <v>63004.813308873447</v>
      </c>
      <c r="O6" s="113">
        <f t="shared" si="2"/>
        <v>1.2275542790589178E-2</v>
      </c>
      <c r="P6" s="114">
        <f t="shared" si="3"/>
        <v>0.46956559567992662</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63778.231590659605</v>
      </c>
      <c r="O7" s="113">
        <f t="shared" si="2"/>
        <v>1.2275542790589178E-2</v>
      </c>
      <c r="P7" s="114">
        <f t="shared" si="3"/>
        <v>0.47532976824268408</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64561.144001658853</v>
      </c>
      <c r="O8" s="113">
        <f t="shared" si="2"/>
        <v>1.2275542790589178E-2</v>
      </c>
      <c r="P8" s="114">
        <f t="shared" si="3"/>
        <v>0.48116469915238796</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1.2275542790589178E-2</v>
      </c>
      <c r="D9" s="39" t="s">
        <v>104</v>
      </c>
      <c r="E9" s="119">
        <f>IF('Inputs &amp; Outputs'!$C$8='CRASH RATES'!$D$3, VLOOKUP('Inputs &amp; Outputs'!$C$7,'CRASH RATES'!$C$14:$J$21,3,FALSE), VLOOKUP('Inputs &amp; Outputs'!$C$7,'CRASH RATES'!$C$28:$J$35,3,FALSE))</f>
        <v>2.3625405586197226</v>
      </c>
      <c r="F9" s="85"/>
      <c r="L9" s="106"/>
      <c r="M9" s="11">
        <f t="shared" si="1"/>
        <v>2023</v>
      </c>
      <c r="N9" s="112">
        <f t="shared" si="6"/>
        <v>65353.667087460606</v>
      </c>
      <c r="O9" s="113">
        <f t="shared" si="2"/>
        <v>1.2275542790589178E-2</v>
      </c>
      <c r="P9" s="114">
        <f t="shared" si="3"/>
        <v>0.48707125700615406</v>
      </c>
      <c r="Q9" s="115">
        <f t="shared" si="4"/>
        <v>1</v>
      </c>
      <c r="R9" s="30">
        <f>IF(M9=Year_Open_to_Traffic?,Calculations!$J$5,Calculations!R8+(Calculations!R8*Calculations!O9*Q9))</f>
        <v>11082769.999328161</v>
      </c>
      <c r="S9" s="45">
        <f t="shared" si="0"/>
        <v>1</v>
      </c>
      <c r="T9" s="30">
        <f t="shared" si="5"/>
        <v>11082.76999932816</v>
      </c>
      <c r="U9" s="31">
        <f>T9/(1+Real_Discount_Rate)^(Calculations!M9-'Assumed Values'!$C$5)</f>
        <v>7901.8618399172028</v>
      </c>
    </row>
    <row r="10" spans="1:21" ht="15.75">
      <c r="A10" s="39" t="s">
        <v>105</v>
      </c>
      <c r="B10" s="118">
        <f>(_2045_Peak_Period_Volume/_2025_Peak_Period_Volume)^(1/(2045-2025))-1</f>
        <v>8.9181322256262074E-3</v>
      </c>
      <c r="D10" s="39" t="s">
        <v>106</v>
      </c>
      <c r="E10" s="119">
        <f>IF('Inputs &amp; Outputs'!$C$8='CRASH RATES'!$D$3, VLOOKUP('Inputs &amp; Outputs'!$C$7,'CRASH RATES'!$C$14:$J$21,4,FALSE), VLOOKUP('Inputs &amp; Outputs'!$C$7,'CRASH RATES'!$C$28:$J$35,4,FALSE))</f>
        <v>8.4203368627728583</v>
      </c>
      <c r="F10" s="85"/>
      <c r="L10" s="106"/>
      <c r="M10" s="107">
        <f t="shared" si="1"/>
        <v>2024</v>
      </c>
      <c r="N10" s="112">
        <f t="shared" si="6"/>
        <v>66155.918824314649</v>
      </c>
      <c r="O10" s="113">
        <f t="shared" si="2"/>
        <v>1.2275542790589178E-2</v>
      </c>
      <c r="P10" s="114">
        <f t="shared" si="3"/>
        <v>0.49305032106359914</v>
      </c>
      <c r="Q10" s="115">
        <f t="shared" si="4"/>
        <v>1</v>
      </c>
      <c r="R10" s="30">
        <f>IF(M10=Year_Open_to_Traffic?,Calculations!$J$5,Calculations!R9+(Calculations!R9*Calculations!O10*Q10))</f>
        <v>11218817.016693171</v>
      </c>
      <c r="S10" s="45">
        <f t="shared" si="0"/>
        <v>1</v>
      </c>
      <c r="T10" s="30">
        <f t="shared" si="5"/>
        <v>11218.81701669317</v>
      </c>
      <c r="U10" s="31">
        <f>T10/(1+Real_Discount_Rate)^(Calculations!M10-'Assumed Values'!$C$5)</f>
        <v>7475.5714794938604</v>
      </c>
    </row>
    <row r="11" spans="1:21" ht="15.75">
      <c r="A11" s="39" t="s">
        <v>107</v>
      </c>
      <c r="B11" s="118">
        <f>(_2045_Peak_Period_Volume/'Inputs &amp; Outputs'!$C$27)^(1/(2045-2018))-1</f>
        <v>9.7875012568438002E-3</v>
      </c>
      <c r="D11" s="39" t="s">
        <v>108</v>
      </c>
      <c r="E11" s="119">
        <f>IF('Inputs &amp; Outputs'!$C$8='CRASH RATES'!$D$3, VLOOKUP('Inputs &amp; Outputs'!$C$7,'CRASH RATES'!$C$14:$J$21,5,FALSE), VLOOKUP('Inputs &amp; Outputs'!$C$7,'CRASH RATES'!$C$28:$J$35,5,FALSE))</f>
        <v>41.314170794324376</v>
      </c>
      <c r="F11" s="85"/>
      <c r="L11" s="106"/>
      <c r="M11" s="11">
        <f t="shared" si="1"/>
        <v>2025</v>
      </c>
      <c r="N11" s="112">
        <f t="shared" si="6"/>
        <v>66968.018636693261</v>
      </c>
      <c r="O11" s="113">
        <f t="shared" si="2"/>
        <v>1.2275542790589178E-2</v>
      </c>
      <c r="P11" s="114">
        <f t="shared" si="3"/>
        <v>0.49910278137772907</v>
      </c>
      <c r="Q11" s="115">
        <f t="shared" si="4"/>
        <v>1</v>
      </c>
      <c r="R11" s="30">
        <f>IF(M11=Year_Open_to_Traffic?,Calculations!$J$5,Calculations!R10+(Calculations!R10*Calculations!O11*Q11))</f>
        <v>11356534.085041378</v>
      </c>
      <c r="S11" s="45">
        <f t="shared" si="0"/>
        <v>1</v>
      </c>
      <c r="T11" s="30">
        <f t="shared" si="5"/>
        <v>11356.534085041378</v>
      </c>
      <c r="U11" s="31">
        <f>T11/(1+Real_Discount_Rate)^(Calculations!M11-'Assumed Values'!$C$5)</f>
        <v>7072.2786701630794</v>
      </c>
    </row>
    <row r="12" spans="1:21" ht="15.75">
      <c r="A12" s="39" t="s">
        <v>109</v>
      </c>
      <c r="B12" s="120">
        <f>'Inputs &amp; Outputs'!C27/_2018_Peak_Period_Capacity</f>
        <v>0.45824610374505698</v>
      </c>
      <c r="D12" s="39" t="s">
        <v>110</v>
      </c>
      <c r="E12" s="119">
        <f>IF('Inputs &amp; Outputs'!$C$8='CRASH RATES'!$D$3, VLOOKUP('Inputs &amp; Outputs'!$C$7,'CRASH RATES'!$C$14:$J$21,6,FALSE), VLOOKUP('Inputs &amp; Outputs'!$C$7,'CRASH RATES'!$C$28:$J$35,6,FALSE))</f>
        <v>65.121310269646187</v>
      </c>
      <c r="F12" s="85"/>
      <c r="L12" s="106"/>
      <c r="M12" s="107">
        <f t="shared" si="1"/>
        <v>2026</v>
      </c>
      <c r="N12" s="112">
        <f t="shared" si="6"/>
        <v>67565.248281783497</v>
      </c>
      <c r="O12" s="113">
        <f t="shared" ref="O12:O36" si="7">IFERROR(_2025_2045_Demand_Growth,_2018_2045_Demand_Growth)</f>
        <v>8.9181322256262074E-3</v>
      </c>
      <c r="P12" s="114">
        <f t="shared" ref="P12:P36" si="8">P11*(1+IFERROR(_2025_2040_V_C_Growth,_2018_2045_V_C_Growth))</f>
        <v>0.50355384597623343</v>
      </c>
      <c r="Q12" s="115">
        <f t="shared" si="4"/>
        <v>1</v>
      </c>
      <c r="R12" s="30">
        <f>IF(M12=Year_Open_to_Traffic?,Calculations!$J$5,Calculations!R11+(Calculations!R11*Calculations!O12*Q12))</f>
        <v>11457813.157636607</v>
      </c>
      <c r="S12" s="45">
        <f t="shared" si="0"/>
        <v>1</v>
      </c>
      <c r="T12" s="30">
        <f t="shared" si="5"/>
        <v>11457.813157636607</v>
      </c>
      <c r="U12" s="31">
        <f>T12/(1+Real_Discount_Rate)^(Calculations!M12-'Assumed Values'!$C$5)</f>
        <v>6668.5515761495972</v>
      </c>
    </row>
    <row r="13" spans="1:21" ht="15.75">
      <c r="A13" s="39" t="s">
        <v>111</v>
      </c>
      <c r="B13" s="120">
        <f>_2025_Peak_Period_Volume/_2025_Peak_Period_Capacity</f>
        <v>0.49910278137772907</v>
      </c>
      <c r="D13" s="39" t="s">
        <v>112</v>
      </c>
      <c r="E13" s="119">
        <f>IF('Inputs &amp; Outputs'!$C$8='CRASH RATES'!$D$3, VLOOKUP('Inputs &amp; Outputs'!$C$7,'CRASH RATES'!$C$14:$J$21,7,FALSE), VLOOKUP('Inputs &amp; Outputs'!$C$7,'CRASH RATES'!$C$28:$J$35,7,FALSE))</f>
        <v>615.29037061283384</v>
      </c>
      <c r="F13" s="85"/>
      <c r="L13" s="106"/>
      <c r="M13" s="11">
        <f t="shared" si="1"/>
        <v>2027</v>
      </c>
      <c r="N13" s="112">
        <f t="shared" si="6"/>
        <v>68167.804099817702</v>
      </c>
      <c r="O13" s="113">
        <f t="shared" si="7"/>
        <v>8.9181322256262074E-3</v>
      </c>
      <c r="P13" s="114">
        <f t="shared" si="8"/>
        <v>0.50804460575737209</v>
      </c>
      <c r="Q13" s="115">
        <f t="shared" si="4"/>
        <v>1</v>
      </c>
      <c r="R13" s="30">
        <f>IF(M13=Year_Open_to_Traffic?,Calculations!$J$5,Calculations!R12+(Calculations!R12*Calculations!O13*Q13))</f>
        <v>11559995.45039293</v>
      </c>
      <c r="S13" s="45">
        <f t="shared" si="0"/>
        <v>1</v>
      </c>
      <c r="T13" s="30">
        <f t="shared" si="5"/>
        <v>11559.995450392929</v>
      </c>
      <c r="U13" s="31">
        <f>T13/(1+Real_Discount_Rate)^(Calculations!M13-'Assumed Values'!$C$5)</f>
        <v>6287.8715895879495</v>
      </c>
    </row>
    <row r="14" spans="1:21" ht="15.75">
      <c r="A14" s="39" t="s">
        <v>113</v>
      </c>
      <c r="B14" s="120">
        <f>_2045_Peak_Period_Volume/_2045_Peak_Period_Capacity</f>
        <v>0.59608546838135112</v>
      </c>
      <c r="D14" s="39" t="s">
        <v>114</v>
      </c>
      <c r="E14" s="119">
        <f>IF('Inputs &amp; Outputs'!$C$8='CRASH RATES'!$D$3, VLOOKUP('Inputs &amp; Outputs'!$C$7,'CRASH RATES'!$C$14:$J$21,8,FALSE), VLOOKUP('Inputs &amp; Outputs'!$C$7,'CRASH RATES'!$C$28:$J$35,8,FALSE))</f>
        <v>20.354195581954531</v>
      </c>
      <c r="F14" s="85"/>
      <c r="L14" s="106"/>
      <c r="M14" s="107">
        <f>M13+1</f>
        <v>2028</v>
      </c>
      <c r="N14" s="112">
        <f t="shared" si="6"/>
        <v>68775.733590310454</v>
      </c>
      <c r="O14" s="113">
        <f t="shared" si="7"/>
        <v>8.9181322256262074E-3</v>
      </c>
      <c r="P14" s="114">
        <f>P13*(1+IFERROR(_2025_2040_V_C_Growth,_2018_2045_V_C_Growth))</f>
        <v>0.51257541472803247</v>
      </c>
      <c r="Q14" s="115">
        <f t="shared" si="4"/>
        <v>1</v>
      </c>
      <c r="R14" s="30">
        <f>IF(M14=Year_Open_to_Traffic?,Calculations!$J$5,Calculations!R13+(Calculations!R13*Calculations!O14*Q14))</f>
        <v>11663089.018347172</v>
      </c>
      <c r="S14" s="45">
        <f t="shared" si="0"/>
        <v>1</v>
      </c>
      <c r="T14" s="30">
        <f t="shared" si="5"/>
        <v>11663.089018347173</v>
      </c>
      <c r="U14" s="31">
        <f>T14/(1+Real_Discount_Rate)^(Calculations!M14-'Assumed Values'!$C$5)</f>
        <v>5928.923046580986</v>
      </c>
    </row>
    <row r="15" spans="1:21" ht="15.75">
      <c r="A15" s="39" t="s">
        <v>115</v>
      </c>
      <c r="B15" s="118">
        <f>(B13/B12)^(1/(2025-2018))-1</f>
        <v>1.2275542790589178E-2</v>
      </c>
      <c r="L15" s="106"/>
      <c r="M15" s="11">
        <f>M14+1</f>
        <v>2029</v>
      </c>
      <c r="N15" s="112">
        <f t="shared" si="6"/>
        <v>69389.084676383281</v>
      </c>
      <c r="O15" s="113">
        <f t="shared" si="7"/>
        <v>8.9181322256262074E-3</v>
      </c>
      <c r="P15" s="114">
        <f>P14*(1+IFERROR(_2025_2040_V_C_Growth,_2018_2045_V_C_Growth))</f>
        <v>0.51714663005218231</v>
      </c>
      <c r="Q15" s="115">
        <f t="shared" si="4"/>
        <v>1</v>
      </c>
      <c r="R15" s="30">
        <f>IF(M15=Year_Open_to_Traffic?,Calculations!$J$5,Calculations!R14+(Calculations!R14*Calculations!O15*Q15))</f>
        <v>11767101.988372041</v>
      </c>
      <c r="S15" s="45">
        <f t="shared" si="0"/>
        <v>1</v>
      </c>
      <c r="T15" s="30">
        <f t="shared" si="5"/>
        <v>11767.10198837204</v>
      </c>
      <c r="U15" s="31">
        <f>T15/(1+Real_Discount_Rate)^(Calculations!M15-'Assumed Values'!$C$5)</f>
        <v>5590.465389033604</v>
      </c>
    </row>
    <row r="16" spans="1:21" ht="15.75">
      <c r="A16" s="39" t="s">
        <v>116</v>
      </c>
      <c r="B16" s="118">
        <f>(B14/B13)^(1/(2045-2025))-1</f>
        <v>8.9181322256262074E-3</v>
      </c>
      <c r="D16" s="121" t="s">
        <v>117</v>
      </c>
      <c r="E16" s="57"/>
      <c r="L16" s="106"/>
      <c r="M16" s="107">
        <f t="shared" si="1"/>
        <v>2030</v>
      </c>
      <c r="N16" s="112">
        <f t="shared" si="6"/>
        <v>70007.905708542443</v>
      </c>
      <c r="O16" s="113">
        <f t="shared" si="7"/>
        <v>8.9181322256262074E-3</v>
      </c>
      <c r="P16" s="114">
        <f t="shared" si="8"/>
        <v>0.52175861207902463</v>
      </c>
      <c r="Q16" s="115">
        <f t="shared" si="4"/>
        <v>1</v>
      </c>
      <c r="R16" s="30">
        <f>IF(M16=Year_Open_to_Traffic?,Calculations!$J$5,Calculations!R15+(Calculations!R15*Calculations!O16*Q16))</f>
        <v>11872042.559816772</v>
      </c>
      <c r="S16" s="45">
        <f t="shared" si="0"/>
        <v>1</v>
      </c>
      <c r="T16" s="30">
        <f t="shared" si="5"/>
        <v>11872.042559816771</v>
      </c>
      <c r="U16" s="31">
        <f>T16/(1+Real_Discount_Rate)^(Calculations!M16-'Assumed Values'!$C$5)</f>
        <v>5271.3288771736388</v>
      </c>
    </row>
    <row r="17" spans="1:21" ht="15.75">
      <c r="A17" s="39" t="s">
        <v>118</v>
      </c>
      <c r="B17" s="118">
        <f>(B14/B12)^(1/(2045-2018))-1</f>
        <v>9.7875012568438002E-3</v>
      </c>
      <c r="D17" s="39" t="s">
        <v>119</v>
      </c>
      <c r="E17" s="122">
        <f>($E$6*Death_Rate)/100000000</f>
        <v>0.75872498647649822</v>
      </c>
      <c r="L17" s="106"/>
      <c r="M17" s="11">
        <f t="shared" si="1"/>
        <v>2031</v>
      </c>
      <c r="N17" s="112">
        <f t="shared" si="6"/>
        <v>70632.245468490393</v>
      </c>
      <c r="O17" s="113">
        <f t="shared" si="7"/>
        <v>8.9181322256262074E-3</v>
      </c>
      <c r="P17" s="114">
        <f t="shared" si="8"/>
        <v>0.5264117243714046</v>
      </c>
      <c r="Q17" s="115">
        <f t="shared" si="4"/>
        <v>1</v>
      </c>
      <c r="R17" s="30">
        <f>IF(M17=Year_Open_to_Traffic?,Calculations!$J$5,Calculations!R16+(Calculations!R16*Calculations!O17*Q17))</f>
        <v>11977919.005153479</v>
      </c>
      <c r="S17" s="45">
        <f t="shared" si="0"/>
        <v>1</v>
      </c>
      <c r="T17" s="30">
        <f t="shared" si="5"/>
        <v>11977.919005153479</v>
      </c>
      <c r="U17" s="31">
        <f>T17/(1+Real_Discount_Rate)^(Calculations!M17-'Assumed Values'!$C$5)</f>
        <v>4970.4105468271355</v>
      </c>
    </row>
    <row r="18" spans="1:21" ht="15.75">
      <c r="D18" s="39" t="s">
        <v>120</v>
      </c>
      <c r="E18" s="122">
        <f>($E$6*Incap_Injry_Rate)/100000000</f>
        <v>2.7041736697495713</v>
      </c>
      <c r="L18" s="106"/>
      <c r="M18" s="107">
        <f t="shared" si="1"/>
        <v>2032</v>
      </c>
      <c r="N18" s="112">
        <f t="shared" si="6"/>
        <v>71262.153172971273</v>
      </c>
      <c r="O18" s="113">
        <f t="shared" si="7"/>
        <v>8.9181322256262074E-3</v>
      </c>
      <c r="P18" s="114">
        <f t="shared" si="8"/>
        <v>0.53110633373446869</v>
      </c>
      <c r="Q18" s="115">
        <f t="shared" si="4"/>
        <v>1</v>
      </c>
      <c r="R18" s="30">
        <f>IF(M18=Year_Open_to_Traffic?,Calculations!$J$5,Calculations!R17+(Calculations!R17*Calculations!O18*Q18))</f>
        <v>12084739.67062928</v>
      </c>
      <c r="S18" s="45">
        <f t="shared" si="0"/>
        <v>1</v>
      </c>
      <c r="T18" s="30">
        <f t="shared" si="5"/>
        <v>12084.73967062928</v>
      </c>
      <c r="U18" s="31">
        <f>T18/(1+Real_Discount_Rate)^(Calculations!M18-'Assumed Values'!$C$5)</f>
        <v>4686.670397476063</v>
      </c>
    </row>
    <row r="19" spans="1:21" ht="15.75">
      <c r="D19" s="39" t="s">
        <v>121</v>
      </c>
      <c r="E19" s="122">
        <f>($E$6*Nonincap_Injry_Rate)/100000000</f>
        <v>13.267960019922354</v>
      </c>
      <c r="L19" s="106"/>
      <c r="M19" s="11">
        <f t="shared" si="1"/>
        <v>2033</v>
      </c>
      <c r="N19" s="112">
        <f t="shared" si="6"/>
        <v>71897.678477650654</v>
      </c>
      <c r="O19" s="113">
        <f t="shared" si="7"/>
        <v>8.9181322256262074E-3</v>
      </c>
      <c r="P19" s="114">
        <f t="shared" si="8"/>
        <v>0.53584281024458025</v>
      </c>
      <c r="Q19" s="115">
        <f t="shared" si="4"/>
        <v>1</v>
      </c>
      <c r="R19" s="30">
        <f>IF(M19=Year_Open_to_Traffic?,Calculations!$J$5,Calculations!R18+(Calculations!R18*Calculations!O19*Q19))</f>
        <v>12192512.976924222</v>
      </c>
      <c r="S19" s="45">
        <f t="shared" si="0"/>
        <v>1</v>
      </c>
      <c r="T19" s="30">
        <f t="shared" si="5"/>
        <v>12192.512976924221</v>
      </c>
      <c r="U19" s="31">
        <f>T19/(1+Real_Discount_Rate)^(Calculations!M19-'Assumed Values'!$C$5)</f>
        <v>4419.1277979240012</v>
      </c>
    </row>
    <row r="20" spans="1:21" ht="15.75">
      <c r="D20" s="39" t="s">
        <v>122</v>
      </c>
      <c r="E20" s="122">
        <f>($E$6*Poss_Injry_Rate/100000000)</f>
        <v>20.913573345185526</v>
      </c>
      <c r="L20" s="106"/>
      <c r="M20" s="107">
        <f t="shared" si="1"/>
        <v>2034</v>
      </c>
      <c r="N20" s="112">
        <f t="shared" si="6"/>
        <v>72538.871481029899</v>
      </c>
      <c r="O20" s="113">
        <f t="shared" si="7"/>
        <v>8.9181322256262074E-3</v>
      </c>
      <c r="P20" s="114">
        <f t="shared" si="8"/>
        <v>0.54062152727849255</v>
      </c>
      <c r="Q20" s="115">
        <f t="shared" si="4"/>
        <v>1</v>
      </c>
      <c r="R20" s="30">
        <f>IF(M20=Year_Open_to_Traffic?,Calculations!$J$5,Calculations!R19+(Calculations!R19*Calculations!O20*Q20))</f>
        <v>12301247.419815095</v>
      </c>
      <c r="S20" s="45">
        <f t="shared" si="0"/>
        <v>1</v>
      </c>
      <c r="T20" s="30">
        <f t="shared" si="5"/>
        <v>12301.247419815096</v>
      </c>
      <c r="U20" s="31">
        <f>T20/(1+Real_Discount_Rate)^(Calculations!M20-'Assumed Values'!$C$5)</f>
        <v>4166.8580971475039</v>
      </c>
    </row>
    <row r="21" spans="1:21" ht="15.75">
      <c r="D21" s="39" t="s">
        <v>123</v>
      </c>
      <c r="E21" s="122">
        <f>($E$6*Non_Injry_Rate)/100000000</f>
        <v>197.59922276004596</v>
      </c>
      <c r="L21" s="106"/>
      <c r="M21" s="11">
        <f>M20+1</f>
        <v>2035</v>
      </c>
      <c r="N21" s="112">
        <f t="shared" si="6"/>
        <v>73185.782728395425</v>
      </c>
      <c r="O21" s="113">
        <f t="shared" si="7"/>
        <v>8.9181322256262074E-3</v>
      </c>
      <c r="P21" s="114">
        <f>P20*(1+IFERROR(_2025_2040_V_C_Growth,_2018_2045_V_C_Growth))</f>
        <v>0.5454428615427821</v>
      </c>
      <c r="Q21" s="115">
        <f t="shared" si="4"/>
        <v>1</v>
      </c>
      <c r="R21" s="30">
        <f>IF(M21=Year_Open_to_Traffic?,Calculations!$J$5,Calculations!R20+(Calculations!R20*Calculations!O21*Q21))</f>
        <v>12410951.570845149</v>
      </c>
      <c r="S21" s="45">
        <f t="shared" si="0"/>
        <v>1</v>
      </c>
      <c r="T21" s="30">
        <f t="shared" si="5"/>
        <v>12410.951570845149</v>
      </c>
      <c r="U21" s="31">
        <f>T21/(1+Real_Discount_Rate)^(Calculations!M21-'Assumed Values'!$C$5)</f>
        <v>3928.9894286198937</v>
      </c>
    </row>
    <row r="22" spans="1:21" ht="15.75">
      <c r="D22" s="39" t="s">
        <v>124</v>
      </c>
      <c r="E22" s="122">
        <f>($E$6*Unkn_Injry_Rate)/100000000</f>
        <v>6.5367075757975233</v>
      </c>
      <c r="L22" s="106"/>
      <c r="M22" s="107">
        <f>M21+1</f>
        <v>2036</v>
      </c>
      <c r="N22" s="112">
        <f t="shared" si="6"/>
        <v>73838.463215803204</v>
      </c>
      <c r="O22" s="113">
        <f t="shared" si="7"/>
        <v>8.9181322256262074E-3</v>
      </c>
      <c r="P22" s="114">
        <f t="shared" si="8"/>
        <v>0.55030719310354459</v>
      </c>
      <c r="Q22" s="115">
        <f t="shared" si="4"/>
        <v>1</v>
      </c>
      <c r="R22" s="30">
        <f>IF(M22=Year_Open_to_Traffic?,Calculations!$J$5,Calculations!R21+(Calculations!R21*Calculations!O22*Q22))</f>
        <v>12521634.077999789</v>
      </c>
      <c r="S22" s="45">
        <f t="shared" si="0"/>
        <v>1</v>
      </c>
      <c r="T22" s="30">
        <f t="shared" si="5"/>
        <v>12521.63407799979</v>
      </c>
      <c r="U22" s="31">
        <f>T22/(1+Real_Discount_Rate)^(Calculations!M22-'Assumed Values'!$C$5)</f>
        <v>3704.699697063003</v>
      </c>
    </row>
    <row r="23" spans="1:21" ht="15.75">
      <c r="L23" s="106"/>
      <c r="M23" s="11">
        <f t="shared" si="1"/>
        <v>2037</v>
      </c>
      <c r="N23" s="112">
        <f t="shared" si="6"/>
        <v>74496.964394098773</v>
      </c>
      <c r="O23" s="113">
        <f t="shared" si="7"/>
        <v>8.9181322256262074E-3</v>
      </c>
      <c r="P23" s="114">
        <f t="shared" si="8"/>
        <v>0.55521490541635521</v>
      </c>
      <c r="Q23" s="115">
        <f t="shared" si="4"/>
        <v>1</v>
      </c>
      <c r="R23" s="30">
        <f>IF(M23=Year_Open_to_Traffic?,Calculations!$J$5,Calculations!R22+(Calculations!R22*Calculations!O23*Q23))</f>
        <v>12633303.666388299</v>
      </c>
      <c r="S23" s="45">
        <f t="shared" si="0"/>
        <v>1</v>
      </c>
      <c r="T23" s="30">
        <f t="shared" si="5"/>
        <v>12633.303666388299</v>
      </c>
      <c r="U23" s="31">
        <f>T23/(1+Real_Discount_Rate)^(Calculations!M23-'Assumed Values'!$C$5)</f>
        <v>3493.2137372127554</v>
      </c>
    </row>
    <row r="24" spans="1:21" ht="15.75">
      <c r="L24" s="106"/>
      <c r="M24" s="107">
        <f t="shared" si="1"/>
        <v>2038</v>
      </c>
      <c r="N24" s="112">
        <f t="shared" si="6"/>
        <v>75161.338172973119</v>
      </c>
      <c r="O24" s="113">
        <f t="shared" si="7"/>
        <v>8.9181322256262074E-3</v>
      </c>
      <c r="P24" s="114">
        <f t="shared" si="8"/>
        <v>0.56016638535649677</v>
      </c>
      <c r="Q24" s="115">
        <f t="shared" si="4"/>
        <v>1</v>
      </c>
      <c r="R24" s="30">
        <f>IF(M24=Year_Open_to_Traffic?,Calculations!$J$5,Calculations!R23+(Calculations!R23*Calculations!O24*Q24))</f>
        <v>12745969.138931638</v>
      </c>
      <c r="S24" s="45">
        <f t="shared" si="0"/>
        <v>1</v>
      </c>
      <c r="T24" s="30">
        <f t="shared" si="5"/>
        <v>12745.969138931638</v>
      </c>
      <c r="U24" s="31">
        <f>T24/(1+Real_Discount_Rate)^(Calculations!M24-'Assumed Values'!$C$5)</f>
        <v>3293.8006347790583</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75831.6369250547</v>
      </c>
      <c r="O25" s="113">
        <f t="shared" si="7"/>
        <v>8.9181322256262074E-3</v>
      </c>
      <c r="P25" s="114">
        <f t="shared" si="8"/>
        <v>0.56516202324945708</v>
      </c>
      <c r="Q25" s="115">
        <f t="shared" si="4"/>
        <v>1</v>
      </c>
      <c r="R25" s="30">
        <f>IF(M25=Year_Open_to_Traffic?,Calculations!$J$5,Calculations!R24+(Calculations!R24*Calculations!O25*Q25))</f>
        <v>12859639.377056381</v>
      </c>
      <c r="S25" s="45">
        <f t="shared" si="0"/>
        <v>1</v>
      </c>
      <c r="T25" s="30">
        <f t="shared" si="5"/>
        <v>12859.639377056381</v>
      </c>
      <c r="U25" s="31">
        <f>T25/(1+Real_Discount_Rate)^(Calculations!M25-'Assumed Values'!$C$5)</f>
        <v>3105.7712003409993</v>
      </c>
    </row>
    <row r="26" spans="1:21" ht="15.75">
      <c r="A26" s="134"/>
      <c r="B26" s="134"/>
      <c r="D26" s="123">
        <f>Calculations!E17</f>
        <v>0.75872498647649822</v>
      </c>
      <c r="E26" s="123">
        <f>Calculations!E18</f>
        <v>2.7041736697495713</v>
      </c>
      <c r="F26" s="123">
        <f>Calculations!E19</f>
        <v>13.267960019922354</v>
      </c>
      <c r="G26" s="123">
        <f>Calculations!E20</f>
        <v>20.913573345185526</v>
      </c>
      <c r="H26" s="123">
        <f>Calculations!E21</f>
        <v>197.59922276004596</v>
      </c>
      <c r="I26" s="123">
        <f>Calculations!E22</f>
        <v>6.5367075757975233</v>
      </c>
      <c r="J26" s="135"/>
      <c r="L26" s="106"/>
      <c r="M26" s="107">
        <f t="shared" si="1"/>
        <v>2040</v>
      </c>
      <c r="N26" s="112">
        <f t="shared" si="6"/>
        <v>76507.913490038016</v>
      </c>
      <c r="O26" s="113">
        <f t="shared" si="7"/>
        <v>8.9181322256262074E-3</v>
      </c>
      <c r="P26" s="114">
        <f t="shared" si="8"/>
        <v>0.57020221290169815</v>
      </c>
      <c r="Q26" s="115">
        <f t="shared" si="4"/>
        <v>1</v>
      </c>
      <c r="R26" s="30">
        <f>IF(M26=Year_Open_to_Traffic?,Calculations!$J$5,Calculations!R25+(Calculations!R25*Calculations!O26*Q26))</f>
        <v>12974323.34139484</v>
      </c>
      <c r="S26" s="45">
        <f t="shared" si="0"/>
        <v>1</v>
      </c>
      <c r="T26" s="30">
        <f t="shared" si="5"/>
        <v>12974.32334139484</v>
      </c>
      <c r="U26" s="31">
        <f>T26/(1+Real_Discount_Rate)^(Calculations!M26-'Assumed Values'!$C$5)</f>
        <v>2928.4755874468997</v>
      </c>
    </row>
    <row r="27" spans="1:21" ht="15.75">
      <c r="A27" s="38" t="s">
        <v>127</v>
      </c>
      <c r="B27" s="39" t="s">
        <v>128</v>
      </c>
      <c r="D27" s="124">
        <f>D$26*'Value of Statistical Life'!D17*Appropriate_Crash_Reduction_Factor</f>
        <v>0</v>
      </c>
      <c r="E27" s="124">
        <f>E$26*'Value of Statistical Life'!E17*Appropriate_Crash_Reduction_Factor</f>
        <v>7.4353959223434213E-2</v>
      </c>
      <c r="F27" s="124">
        <f>F$26*'Value of Statistical Life'!F17*Appropriate_Crash_Reduction_Factor</f>
        <v>0.88598129829033523</v>
      </c>
      <c r="G27" s="124">
        <f>G$26*'Value of Statistical Life'!G17*Appropriate_Crash_Reduction_Factor</f>
        <v>3.9212113479289052</v>
      </c>
      <c r="H27" s="124">
        <f>H$26*'Value of Statistical Life'!H17*Appropriate_Crash_Reduction_Factor</f>
        <v>146.27717183102476</v>
      </c>
      <c r="I27" s="124">
        <f>I$26*'Value of Statistical Life'!I17*Appropriate_Crash_Reduction_Factor</f>
        <v>2.283977920644261</v>
      </c>
      <c r="J27" s="124">
        <f t="shared" ref="J27:J33" si="9">SUM(D27:I27)</f>
        <v>153.44269635711169</v>
      </c>
      <c r="K27" s="69"/>
      <c r="L27" s="106"/>
      <c r="M27" s="11">
        <f t="shared" si="1"/>
        <v>2041</v>
      </c>
      <c r="N27" s="112">
        <f t="shared" si="6"/>
        <v>77190.221178848951</v>
      </c>
      <c r="O27" s="113">
        <f t="shared" si="7"/>
        <v>8.9181322256262074E-3</v>
      </c>
      <c r="P27" s="114">
        <f t="shared" si="8"/>
        <v>0.57528735163170019</v>
      </c>
      <c r="Q27" s="115">
        <f t="shared" si="4"/>
        <v>1</v>
      </c>
      <c r="R27" s="30">
        <f>IF(M27=Year_Open_to_Traffic?,Calculations!$J$5,Calculations!R26+(Calculations!R26*Calculations!O27*Q27))</f>
        <v>13090030.072491428</v>
      </c>
      <c r="S27" s="45">
        <f t="shared" si="0"/>
        <v>1</v>
      </c>
      <c r="T27" s="30">
        <f t="shared" si="5"/>
        <v>13090.030072491429</v>
      </c>
      <c r="U27" s="31">
        <f>T27/(1+Real_Discount_Rate)^(Calculations!M27-'Assumed Values'!$C$5)</f>
        <v>2761.3010466871679</v>
      </c>
    </row>
    <row r="28" spans="1:21" ht="15.75">
      <c r="A28" s="38" t="s">
        <v>129</v>
      </c>
      <c r="B28" s="39" t="s">
        <v>130</v>
      </c>
      <c r="D28" s="124">
        <f>D$26*'Value of Statistical Life'!D18*Appropriate_Crash_Reduction_Factor</f>
        <v>0</v>
      </c>
      <c r="E28" s="124">
        <f>E$26*'Value of Statistical Life'!E18*Appropriate_Crash_Reduction_Factor</f>
        <v>1.199549806511552</v>
      </c>
      <c r="F28" s="124">
        <f>F$26*'Value of Statistical Life'!F18*Appropriate_Crash_Reduction_Factor</f>
        <v>8.1563988144871473</v>
      </c>
      <c r="G28" s="124">
        <f>G$26*'Value of Statistical Life'!G18*Appropriate_Crash_Reduction_Factor</f>
        <v>11.53525782285729</v>
      </c>
      <c r="H28" s="124">
        <f>H$26*'Value of Statistical Life'!H18*Appropriate_Crash_Reduction_Factor</f>
        <v>11.471820476557228</v>
      </c>
      <c r="I28" s="124">
        <f>I$26*'Value of Statistical Life'!I18*Appropriate_Crash_Reduction_Factor</f>
        <v>2.1826851000497025</v>
      </c>
      <c r="J28" s="124">
        <f t="shared" si="9"/>
        <v>34.545712020462922</v>
      </c>
      <c r="K28" s="69"/>
      <c r="L28" s="106"/>
      <c r="M28" s="107">
        <f t="shared" si="1"/>
        <v>2042</v>
      </c>
      <c r="N28" s="112">
        <f t="shared" si="6"/>
        <v>77878.613777847262</v>
      </c>
      <c r="O28" s="113">
        <f t="shared" si="7"/>
        <v>8.9181322256262074E-3</v>
      </c>
      <c r="P28" s="114">
        <f t="shared" si="8"/>
        <v>0.58041784030128196</v>
      </c>
      <c r="Q28" s="115">
        <f t="shared" si="4"/>
        <v>1</v>
      </c>
      <c r="R28" s="30">
        <f>IF(M28=Year_Open_to_Traffic?,Calculations!$J$5,Calculations!R27+(Calculations!R27*Calculations!O28*Q28))</f>
        <v>13206768.69151533</v>
      </c>
      <c r="S28" s="45">
        <f t="shared" si="0"/>
        <v>1</v>
      </c>
      <c r="T28" s="30">
        <f t="shared" si="5"/>
        <v>13206.76869151533</v>
      </c>
      <c r="U28" s="31">
        <f>T28/(1+Real_Discount_Rate)^(Calculations!M28-'Assumed Values'!$C$5)</f>
        <v>2603.6698079778353</v>
      </c>
    </row>
    <row r="29" spans="1:21" ht="15.75">
      <c r="A29" s="38" t="s">
        <v>131</v>
      </c>
      <c r="B29" s="39" t="s">
        <v>132</v>
      </c>
      <c r="D29" s="124">
        <f>D$26*'Value of Statistical Life'!D19*Appropriate_Crash_Reduction_Factor</f>
        <v>0</v>
      </c>
      <c r="E29" s="124">
        <f>E$26*'Value of Statistical Life'!E19*Appropriate_Crash_Reduction_Factor</f>
        <v>0.45231090469699231</v>
      </c>
      <c r="F29" s="124">
        <f>F$26*'Value of Statistical Life'!F19*Appropriate_Crash_Reduction_Factor</f>
        <v>1.1567538263769106</v>
      </c>
      <c r="G29" s="124">
        <f>G$26*'Value of Statistical Life'!G19*Appropriate_Crash_Reduction_Factor</f>
        <v>1.0692691779926455</v>
      </c>
      <c r="H29" s="124">
        <f>H$26*'Value of Statistical Life'!H19*Appropriate_Crash_Reduction_Factor</f>
        <v>0.31299716885191287</v>
      </c>
      <c r="I29" s="124">
        <f>I$26*'Value of Statistical Life'!I19*Appropriate_Crash_Reduction_Factor</f>
        <v>0.46394935689980499</v>
      </c>
      <c r="J29" s="124">
        <f t="shared" si="9"/>
        <v>3.4552804348182669</v>
      </c>
      <c r="K29" s="69"/>
      <c r="L29" s="106"/>
      <c r="M29" s="11">
        <f t="shared" si="1"/>
        <v>2043</v>
      </c>
      <c r="N29" s="112">
        <f t="shared" si="6"/>
        <v>78573.145553066584</v>
      </c>
      <c r="O29" s="113">
        <f t="shared" si="7"/>
        <v>8.9181322256262074E-3</v>
      </c>
      <c r="P29" s="114">
        <f t="shared" si="8"/>
        <v>0.5855940833472012</v>
      </c>
      <c r="Q29" s="115">
        <f t="shared" si="4"/>
        <v>1</v>
      </c>
      <c r="R29" s="30">
        <f>IF(M29=Year_Open_to_Traffic?,Calculations!$J$5,Calculations!R28+(Calculations!R28*Calculations!O29*Q29))</f>
        <v>13324548.400979524</v>
      </c>
      <c r="S29" s="45">
        <f t="shared" si="0"/>
        <v>1</v>
      </c>
      <c r="T29" s="30">
        <f t="shared" si="5"/>
        <v>13324.548400979524</v>
      </c>
      <c r="U29" s="31">
        <f>T29/(1+Real_Discount_Rate)^(Calculations!M29-'Assumed Values'!$C$5)</f>
        <v>2455.0370837357495</v>
      </c>
    </row>
    <row r="30" spans="1:21" ht="15.75">
      <c r="A30" s="38" t="s">
        <v>133</v>
      </c>
      <c r="B30" s="39" t="s">
        <v>134</v>
      </c>
      <c r="D30" s="124">
        <f>D$26*'Value of Statistical Life'!D20*Appropriate_Crash_Reduction_Factor</f>
        <v>0</v>
      </c>
      <c r="E30" s="124">
        <f>E$26*'Value of Statistical Life'!E20*Appropriate_Crash_Reduction_Factor</f>
        <v>0.31232124216139651</v>
      </c>
      <c r="F30" s="124">
        <f>F$26*'Value of Statistical Life'!F20*Appropriate_Crash_Reduction_Factor</f>
        <v>0.33870448338857789</v>
      </c>
      <c r="G30" s="124">
        <f>G$26*'Value of Statistical Life'!G20*Appropriate_Crash_Reduction_Factor</f>
        <v>0.17918749642154963</v>
      </c>
      <c r="H30" s="124">
        <f>H$26*'Value of Statistical Life'!H20*Appropriate_Crash_Reduction_Factor</f>
        <v>1.2646350256642944E-2</v>
      </c>
      <c r="I30" s="124">
        <f>I$26*'Value of Statistical Life'!I20*Appropriate_Crash_Reduction_Factor</f>
        <v>0.25189856314093334</v>
      </c>
      <c r="J30" s="124">
        <f t="shared" si="9"/>
        <v>1.0947581353691003</v>
      </c>
      <c r="K30" s="69"/>
      <c r="L30" s="106"/>
      <c r="M30" s="11">
        <f t="shared" si="1"/>
        <v>2044</v>
      </c>
      <c r="N30" s="112">
        <f t="shared" si="6"/>
        <v>79273.871254492202</v>
      </c>
      <c r="O30" s="113">
        <f t="shared" si="7"/>
        <v>8.9181322256262074E-3</v>
      </c>
      <c r="P30" s="114">
        <f t="shared" si="8"/>
        <v>0.59081648881303594</v>
      </c>
      <c r="Q30" s="115">
        <f t="shared" si="4"/>
        <v>1</v>
      </c>
      <c r="R30" s="30">
        <f>IF(M30=Year_Open_to_Traffic?,Calculations!$J$5,Calculations!R29+(Calculations!R29*Calculations!O30*Q30))</f>
        <v>13443378.485466216</v>
      </c>
      <c r="S30" s="45">
        <f t="shared" si="0"/>
        <v>1</v>
      </c>
      <c r="T30" s="30">
        <f t="shared" si="5"/>
        <v>13443.378485466215</v>
      </c>
      <c r="U30" s="31">
        <f>T30/(1+Real_Discount_Rate)^(Calculations!M30-'Assumed Values'!$C$5)</f>
        <v>2314.8891860442254</v>
      </c>
    </row>
    <row r="31" spans="1:21" ht="15.75">
      <c r="A31" s="38" t="s">
        <v>135</v>
      </c>
      <c r="B31" s="39" t="s">
        <v>136</v>
      </c>
      <c r="D31" s="124">
        <f>D$26*'Value of Statistical Life'!D21*Appropriate_Crash_Reduction_Factor</f>
        <v>0</v>
      </c>
      <c r="E31" s="124">
        <f>E$26*'Value of Statistical Life'!E21*Appropriate_Crash_Reduction_Factor</f>
        <v>8.6230689980974329E-2</v>
      </c>
      <c r="F31" s="124">
        <f>F$26*'Value of Statistical Life'!F21*Appropriate_Crash_Reduction_Factor</f>
        <v>6.5809081698814872E-2</v>
      </c>
      <c r="G31" s="124">
        <f>G$26*'Value of Statistical Life'!G21*Appropriate_Crash_Reduction_Factor</f>
        <v>2.3757819320130758E-2</v>
      </c>
      <c r="H31" s="124">
        <f>H$26*'Value of Statistical Life'!H21*Appropriate_Crash_Reduction_Factor</f>
        <v>0</v>
      </c>
      <c r="I31" s="124">
        <f>I$26*'Value of Statistical Life'!I21*Appropriate_Crash_Reduction_Factor</f>
        <v>3.2265188594136573E-2</v>
      </c>
      <c r="J31" s="124">
        <f t="shared" si="9"/>
        <v>0.20806277959405656</v>
      </c>
      <c r="K31" s="69"/>
      <c r="L31" s="106"/>
      <c r="M31" s="11">
        <f t="shared" si="1"/>
        <v>2045</v>
      </c>
      <c r="N31" s="112">
        <f t="shared" si="6"/>
        <v>79980.846120377028</v>
      </c>
      <c r="O31" s="113">
        <f t="shared" si="7"/>
        <v>8.9181322256262074E-3</v>
      </c>
      <c r="P31" s="114">
        <f t="shared" si="8"/>
        <v>0.59608546838135079</v>
      </c>
      <c r="Q31" s="115">
        <f t="shared" si="4"/>
        <v>1</v>
      </c>
      <c r="R31" s="30">
        <f>IF(M31=Year_Open_to_Traffic?,Calculations!$J$5,Calculations!R30+(Calculations!R30*Calculations!O31*Q31))</f>
        <v>13563268.312358743</v>
      </c>
      <c r="S31" s="45">
        <f t="shared" si="0"/>
        <v>1</v>
      </c>
      <c r="T31" s="30">
        <f t="shared" si="5"/>
        <v>13563.268312358743</v>
      </c>
      <c r="U31" s="31">
        <f>T31/(1+Real_Discount_Rate)^(Calculations!M31-'Assumed Values'!$C$5)</f>
        <v>2182.7417513019063</v>
      </c>
    </row>
    <row r="32" spans="1:21" ht="15.75">
      <c r="A32" s="38" t="s">
        <v>137</v>
      </c>
      <c r="B32" s="39" t="s">
        <v>138</v>
      </c>
      <c r="D32" s="124">
        <f>D$26*'Value of Statistical Life'!D22*Appropriate_Crash_Reduction_Factor</f>
        <v>0</v>
      </c>
      <c r="E32" s="124">
        <f>E$26*'Value of Statistical Life'!E22*Appropriate_Crash_Reduction_Factor</f>
        <v>3.8572333225307884E-2</v>
      </c>
      <c r="F32" s="124">
        <f>F$26*'Value of Statistical Life'!F22*Appropriate_Crash_Reduction_Factor</f>
        <v>1.0720511696097263E-2</v>
      </c>
      <c r="G32" s="124">
        <f>G$26*'Value of Statistical Life'!G22*Appropriate_Crash_Reduction_Factor</f>
        <v>2.1750116278992948E-3</v>
      </c>
      <c r="H32" s="124">
        <f>H$26*'Value of Statistical Life'!H22*Appropriate_Crash_Reduction_Factor</f>
        <v>4.7423813462411039E-3</v>
      </c>
      <c r="I32" s="124">
        <f>I$26*'Value of Statistical Life'!I22*Appropriate_Crash_Reduction_Factor</f>
        <v>1.4589931309180071E-2</v>
      </c>
      <c r="J32" s="124">
        <f t="shared" si="9"/>
        <v>7.0800169204725621E-2</v>
      </c>
      <c r="K32" s="69"/>
      <c r="L32" s="106"/>
      <c r="M32" s="11">
        <f t="shared" si="1"/>
        <v>2046</v>
      </c>
      <c r="N32" s="112">
        <f t="shared" si="6"/>
        <v>80694.125881596017</v>
      </c>
      <c r="O32" s="113">
        <f t="shared" si="7"/>
        <v>8.9181322256262074E-3</v>
      </c>
      <c r="P32" s="114">
        <f t="shared" si="8"/>
        <v>0.60140143740615004</v>
      </c>
      <c r="Q32" s="115">
        <f t="shared" si="4"/>
        <v>1</v>
      </c>
      <c r="R32" s="30">
        <f>IF(M32=Year_Open_to_Traffic?,Calculations!$J$5,Calculations!R31+(Calculations!R31*Calculations!O32*Q32))</f>
        <v>13684227.332580004</v>
      </c>
      <c r="S32" s="45">
        <f t="shared" si="0"/>
        <v>1</v>
      </c>
      <c r="T32" s="30">
        <f t="shared" si="5"/>
        <v>13684.227332580003</v>
      </c>
      <c r="U32" s="31">
        <f>T32/(1+Real_Discount_Rate)^(Calculations!M32-'Assumed Values'!$C$5)</f>
        <v>2058.1380662190763</v>
      </c>
    </row>
    <row r="33" spans="1:21" ht="15.75">
      <c r="A33" s="38" t="s">
        <v>139</v>
      </c>
      <c r="B33" s="39" t="s">
        <v>140</v>
      </c>
      <c r="D33" s="124">
        <f>D$26*'Value of Statistical Life'!D23*Appropriate_Crash_Reduction_Factor</f>
        <v>0.60697998918119866</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0.60697998918119866</v>
      </c>
      <c r="K33" s="69"/>
      <c r="L33" s="106"/>
      <c r="M33" s="11">
        <f t="shared" si="1"/>
        <v>2047</v>
      </c>
      <c r="N33" s="112">
        <f t="shared" si="6"/>
        <v>81413.766766039422</v>
      </c>
      <c r="O33" s="113">
        <f t="shared" si="7"/>
        <v>8.9181322256262074E-3</v>
      </c>
      <c r="P33" s="114">
        <f t="shared" si="8"/>
        <v>0.60676481494561973</v>
      </c>
      <c r="Q33" s="115">
        <f t="shared" si="4"/>
        <v>1</v>
      </c>
      <c r="R33" s="30">
        <f>IF(M33=Year_Open_to_Traffic?,Calculations!$J$5,Calculations!R32+(Calculations!R32*Calculations!O33*Q33))</f>
        <v>13806265.08133748</v>
      </c>
      <c r="S33" s="45">
        <f t="shared" si="0"/>
        <v>1</v>
      </c>
      <c r="T33" s="30">
        <f t="shared" si="5"/>
        <v>13806.26508133748</v>
      </c>
      <c r="U33" s="31">
        <f>T33/(1+Real_Discount_Rate)^(Calculations!M33-'Assumed Values'!$C$5)</f>
        <v>1940.6474893758998</v>
      </c>
    </row>
    <row r="34" spans="1:21" ht="15.75">
      <c r="J34" s="125"/>
      <c r="L34" s="106"/>
      <c r="M34" s="11">
        <f t="shared" si="1"/>
        <v>2048</v>
      </c>
      <c r="N34" s="112">
        <f t="shared" si="6"/>
        <v>82139.825503045256</v>
      </c>
      <c r="O34" s="113">
        <f t="shared" si="7"/>
        <v>8.9181322256262074E-3</v>
      </c>
      <c r="P34" s="114">
        <f t="shared" si="8"/>
        <v>0.61217602379516234</v>
      </c>
      <c r="Q34" s="115">
        <f t="shared" si="4"/>
        <v>1</v>
      </c>
      <c r="R34" s="30">
        <f>IF(M34=Year_Open_to_Traffic?,Calculations!$J$5,Calculations!R33+(Calculations!R33*Calculations!O34*Q34))</f>
        <v>13929391.178874893</v>
      </c>
      <c r="S34" s="45">
        <f t="shared" si="0"/>
        <v>1</v>
      </c>
      <c r="T34" s="30">
        <f t="shared" si="5"/>
        <v>13929.391178874894</v>
      </c>
      <c r="U34" s="31">
        <f>T34/(1+Real_Discount_Rate)^(Calculations!M34-'Assumed Values'!$C$5)</f>
        <v>1829.863962887368</v>
      </c>
    </row>
    <row r="35" spans="1:21" ht="15.75">
      <c r="G35" s="41"/>
      <c r="H35" s="41"/>
      <c r="L35" s="106"/>
      <c r="M35" s="11">
        <f t="shared" si="1"/>
        <v>2049</v>
      </c>
      <c r="N35" s="112">
        <f t="shared" si="6"/>
        <v>82872.35932787128</v>
      </c>
      <c r="O35" s="113">
        <f t="shared" si="7"/>
        <v>8.9181322256262074E-3</v>
      </c>
      <c r="P35" s="114">
        <f t="shared" si="8"/>
        <v>0.61763549052072564</v>
      </c>
      <c r="Q35" s="115">
        <f t="shared" si="4"/>
        <v>1</v>
      </c>
      <c r="R35" s="30">
        <f>IF(M35=Year_Open_to_Traffic?,Calculations!$J$5,Calculations!R34+(Calculations!R34*Calculations!O35*Q35))</f>
        <v>14053615.331230571</v>
      </c>
      <c r="S35" s="45">
        <f t="shared" si="0"/>
        <v>1</v>
      </c>
      <c r="T35" s="30">
        <f t="shared" si="5"/>
        <v>14053.615331230572</v>
      </c>
      <c r="U35" s="31">
        <f>T35/(1+Real_Discount_Rate)^(Calculations!M35-'Assumed Values'!$C$5)</f>
        <v>1725.4046090311267</v>
      </c>
    </row>
    <row r="36" spans="1:21" ht="15.75">
      <c r="G36" s="41"/>
      <c r="H36" s="41"/>
      <c r="L36" s="106"/>
      <c r="M36" s="11">
        <f t="shared" si="1"/>
        <v>2050</v>
      </c>
      <c r="N36" s="112">
        <f t="shared" si="6"/>
        <v>83611.425986206843</v>
      </c>
      <c r="O36" s="113">
        <f t="shared" si="7"/>
        <v>8.9181322256262074E-3</v>
      </c>
      <c r="P36" s="114">
        <f t="shared" si="8"/>
        <v>0.62314364549242895</v>
      </c>
      <c r="Q36" s="115">
        <f t="shared" si="4"/>
        <v>1</v>
      </c>
      <c r="R36" s="30">
        <f>IF(M36=Year_Open_to_Traffic?,Calculations!$J$5,Calculations!R35+(Calculations!R35*Calculations!O36*Q36))</f>
        <v>14178947.331002573</v>
      </c>
      <c r="S36" s="45">
        <f t="shared" si="0"/>
        <v>1</v>
      </c>
      <c r="T36" s="30">
        <f t="shared" si="5"/>
        <v>14178.947331002573</v>
      </c>
      <c r="U36" s="31">
        <f>T36/(1+Real_Discount_Rate)^(Calculations!M36-'Assumed Values'!$C$5)</f>
        <v>1626.9084069880107</v>
      </c>
    </row>
    <row r="37" spans="1:21">
      <c r="M37" s="39"/>
      <c r="N37" s="39"/>
      <c r="O37" s="118"/>
      <c r="P37" s="120"/>
      <c r="Q37" s="39"/>
      <c r="R37" s="39"/>
      <c r="S37" s="39"/>
      <c r="T37" s="39"/>
      <c r="U37" s="31">
        <f>SUM(U4:U36)</f>
        <v>112393.47100318559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50</v>
      </c>
      <c r="D3" t="s">
        <v>161</v>
      </c>
      <c r="G3" s="39" t="s">
        <v>162</v>
      </c>
      <c r="H3" s="127" t="s">
        <v>163</v>
      </c>
      <c r="Q3" s="86"/>
      <c r="R3" s="85"/>
      <c r="S3" s="85"/>
      <c r="T3" s="85"/>
      <c r="U3" s="85"/>
      <c r="V3" s="85"/>
      <c r="W3" s="85"/>
      <c r="X3" s="85"/>
    </row>
    <row r="4" spans="3:24">
      <c r="C4" t="s">
        <v>164</v>
      </c>
      <c r="D4" t="s">
        <v>53</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50</v>
      </c>
      <c r="D14" s="60"/>
      <c r="E14" s="60">
        <v>0.58757489087439407</v>
      </c>
      <c r="F14" s="60">
        <v>1.7627246726231824</v>
      </c>
      <c r="G14" s="60">
        <v>8.5198359176787157</v>
      </c>
      <c r="H14" s="60">
        <v>10.870135481176293</v>
      </c>
      <c r="I14" s="60">
        <v>172.45323047163467</v>
      </c>
      <c r="J14" s="60">
        <v>6.1695363541811377</v>
      </c>
      <c r="M14" s="39" t="s">
        <v>50</v>
      </c>
      <c r="N14" s="84">
        <v>2618324.17</v>
      </c>
      <c r="O14" s="84">
        <f>N14*260</f>
        <v>680764284.19999993</v>
      </c>
      <c r="Q14" s="63" t="s">
        <v>50</v>
      </c>
      <c r="R14" s="64"/>
      <c r="S14" s="39">
        <v>4</v>
      </c>
      <c r="T14" s="39">
        <v>12</v>
      </c>
      <c r="U14" s="39">
        <v>58</v>
      </c>
      <c r="V14" s="39">
        <v>74</v>
      </c>
      <c r="W14" s="39">
        <v>1174</v>
      </c>
      <c r="X14" s="39">
        <v>42</v>
      </c>
    </row>
    <row r="15" spans="3:24">
      <c r="C15" s="55" t="s">
        <v>164</v>
      </c>
      <c r="D15" s="60"/>
      <c r="E15" s="60">
        <v>0</v>
      </c>
      <c r="F15" s="60">
        <v>0.71587584389076675</v>
      </c>
      <c r="G15" s="60">
        <v>4.7247805696790603</v>
      </c>
      <c r="H15" s="60">
        <v>3.8657295570101406</v>
      </c>
      <c r="I15" s="60">
        <v>59.847220549268101</v>
      </c>
      <c r="J15" s="60">
        <v>1.4317516877815335</v>
      </c>
      <c r="M15" s="39" t="s">
        <v>164</v>
      </c>
      <c r="N15" s="84">
        <v>2686327.44</v>
      </c>
      <c r="O15" s="84">
        <f t="shared" ref="O15:O21" si="0">N15*260</f>
        <v>698445134.39999998</v>
      </c>
      <c r="Q15" s="63" t="s">
        <v>164</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50</v>
      </c>
      <c r="D28" s="60"/>
      <c r="E28" s="60">
        <v>2.3625405586197226</v>
      </c>
      <c r="F28" s="60">
        <v>8.4203368627728583</v>
      </c>
      <c r="G28" s="60">
        <v>41.314170794324376</v>
      </c>
      <c r="H28" s="60">
        <v>65.121310269646187</v>
      </c>
      <c r="I28" s="60">
        <v>615.29037061283384</v>
      </c>
      <c r="J28" s="60">
        <v>20.354195581954531</v>
      </c>
      <c r="M28" s="39" t="s">
        <v>50</v>
      </c>
      <c r="N28" s="84">
        <v>6349097.3499999996</v>
      </c>
      <c r="O28" s="84">
        <f>N28*260</f>
        <v>1650765311</v>
      </c>
      <c r="Q28" s="63" t="s">
        <v>50</v>
      </c>
      <c r="R28" s="64"/>
      <c r="S28" s="39">
        <v>39</v>
      </c>
      <c r="T28" s="39">
        <v>139</v>
      </c>
      <c r="U28" s="39">
        <v>682</v>
      </c>
      <c r="V28" s="39">
        <v>1075</v>
      </c>
      <c r="W28" s="84">
        <v>10157</v>
      </c>
      <c r="X28" s="39">
        <v>336</v>
      </c>
    </row>
    <row r="29" spans="3:24">
      <c r="C29" s="56" t="s">
        <v>164</v>
      </c>
      <c r="D29" s="60"/>
      <c r="E29" s="60">
        <v>2.8832323701282432</v>
      </c>
      <c r="F29" s="60">
        <v>27.184762346923439</v>
      </c>
      <c r="G29" s="60">
        <v>68.373796205898344</v>
      </c>
      <c r="H29" s="60">
        <v>63.019221804231606</v>
      </c>
      <c r="I29" s="60">
        <v>906.57063523603767</v>
      </c>
      <c r="J29" s="60">
        <v>35.422569118718414</v>
      </c>
      <c r="M29" s="39" t="s">
        <v>164</v>
      </c>
      <c r="N29" s="84">
        <v>933781.03</v>
      </c>
      <c r="O29" s="84">
        <f t="shared" ref="O29:O35" si="2">N29*260</f>
        <v>242783067.80000001</v>
      </c>
      <c r="Q29" s="63" t="s">
        <v>164</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FB3BFB-26E2-4CEF-8680-A4CD7F15E54B}"/>
</file>

<file path=customXml/itemProps2.xml><?xml version="1.0" encoding="utf-8"?>
<ds:datastoreItem xmlns:ds="http://schemas.openxmlformats.org/officeDocument/2006/customXml" ds:itemID="{AE6152F4-4DB1-4E87-9D57-4B51DF332EDB}"/>
</file>

<file path=customXml/itemProps3.xml><?xml version="1.0" encoding="utf-8"?>
<ds:datastoreItem xmlns:ds="http://schemas.openxmlformats.org/officeDocument/2006/customXml" ds:itemID="{483B9AEC-EF4E-461D-91F9-B5A06644485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2018-10-30T13:22:25Z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