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3_HW_FM1488/"/>
    </mc:Choice>
  </mc:AlternateContent>
  <xr:revisionPtr revIDLastSave="51" documentId="8_{12B37862-7F42-4E17-8275-BC180AD3936A}" xr6:coauthVersionLast="40" xr6:coauthVersionMax="40" xr10:uidLastSave="{1584E049-4E51-476B-BA44-3484A05EF75E}"/>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<sst xmlns="http://schemas.openxmlformats.org/spreadsheetml/2006/main" count="292" uniqueCount="238">
  <si>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</si>
  <si>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</si>
  <si>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</si>
  <si>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</si>
  <si>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</si>
  <si>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</si>
  <si>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</si>
  <si>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</si>
  <si>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</si>
  <si>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</si>
  <si>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</si>
  <si>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</si>
  <si>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</si>
  <si>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</si>
  <si>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</si>
  <si>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</si>
  <si>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</si>
  <si>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</si>
  <si>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</si>
  <si>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</si>
  <si>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</si>
  <si>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</si>
  <si>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</si>
  <si>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</si>
  <si>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</si>
  <si>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</si>
  <si>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</si>
  <si>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</si>
  <si>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</si>
  <si>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</si>
  <si>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</si>
  <si>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</si>
  <si>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</si>
  <si>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</si>
  <si>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</si>
  <si>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</si>
  <si>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</si>
  <si>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</si>
  <si>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</si>
  <si>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</si>
  <si>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</si>
  <si>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</si>
  <si>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</si>
  <si>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</si>
  <si>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</si>
  <si>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</si>
  <si>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</si>
  <si>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</si>
  <si>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</si>
  <si>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Magnolia Relief Route</t>
  </si>
  <si>
    <t>Data entered by the sponsors</t>
  </si>
  <si>
    <t>County</t>
  </si>
  <si>
    <t>Montgomery</t>
  </si>
  <si>
    <t>HGAC regional travel demand model data provided by HGAC</t>
  </si>
  <si>
    <t>Facility Type</t>
  </si>
  <si>
    <t>Non Freeway</t>
  </si>
  <si>
    <t>Data populated/calculated based on inputs</t>
  </si>
  <si>
    <t>Street Name:</t>
  </si>
  <si>
    <t>FM 1488</t>
  </si>
  <si>
    <t>Benefits calculated by the template</t>
  </si>
  <si>
    <t>Limits (From)</t>
  </si>
  <si>
    <t>Existing FM 1488, W of Magnolia</t>
  </si>
  <si>
    <t>Limits (To)</t>
  </si>
  <si>
    <t>SH 249</t>
  </si>
  <si>
    <t>Length (in Miles)</t>
  </si>
  <si>
    <t>Application ID Number:</t>
  </si>
  <si>
    <t>Sponsor ID Number (CSJ, etc.):</t>
  </si>
  <si>
    <t>0523-08-013; 0523-09-018</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</si>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</sst>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xr3:uid="{51F8DEE0-4D01-5F28-A812-FC0BD7CAC4A5}">
      <selection activeCell="D34" sqref="D34"/>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4.3600000000000003</v>
      </c>
    </row>
    <row r="13" spans="1:7">
      <c r="A13" s="7" t="s">
        <v>65</v>
      </c>
      <c r="B13" s="116"/>
      <c r="F13" s="99"/>
    </row>
    <row r="14" spans="1:7">
      <c r="A14" s="7" t="s">
        <v>66</v>
      </c>
      <c r="B14" s="116" t="s">
        <v>67</v>
      </c>
    </row>
    <row r="17" spans="1:7">
      <c r="A17" s="98" t="s">
        <v>68</v>
      </c>
      <c r="E17" s="130" t="s">
        <v>69</v>
      </c>
      <c r="F17" s="131"/>
    </row>
    <row r="18" spans="1:7">
      <c r="A18" s="7" t="s">
        <v>70</v>
      </c>
      <c r="B18" s="117">
        <v>2026</v>
      </c>
      <c r="E18" s="87" t="s">
        <v>71</v>
      </c>
      <c r="F18" s="122">
        <f>$B$12/$B$32</f>
        <v>8.0740740740740752E-2</v>
      </c>
    </row>
    <row r="19" spans="1:7" ht="28.9">
      <c r="A19" s="7" t="s">
        <v>72</v>
      </c>
      <c r="B19" s="118" t="s">
        <v>73</v>
      </c>
      <c r="E19" s="89" t="s">
        <v>74</v>
      </c>
      <c r="F19" s="123">
        <f>$B$12/$B$33</f>
        <v>0.14064516129032259</v>
      </c>
    </row>
    <row r="20" spans="1:7" ht="28.9">
      <c r="A20" s="113" t="s">
        <v>75</v>
      </c>
      <c r="B20" s="114">
        <f>VLOOKUP(B19,'Delay Reduction Factors'!B4:C80,2, FALSE)</f>
        <v>0.4</v>
      </c>
      <c r="E20" s="89" t="s">
        <v>76</v>
      </c>
      <c r="F20" s="122">
        <f>$F$19-$F$18</f>
        <v>5.9904420549581838E-2</v>
      </c>
    </row>
    <row r="21" spans="1:7">
      <c r="A21" s="7" t="s">
        <v>77</v>
      </c>
      <c r="B21" s="63">
        <v>30</v>
      </c>
      <c r="D21" s="100"/>
      <c r="E21" s="87" t="s">
        <v>78</v>
      </c>
      <c r="F21" s="122">
        <f>$F$20*$B$20</f>
        <v>2.3961768219832737E-2</v>
      </c>
      <c r="G21" s="101"/>
    </row>
    <row r="22" spans="1:7">
      <c r="D22" s="100"/>
      <c r="E22" s="87" t="s">
        <v>79</v>
      </c>
      <c r="F22" s="122">
        <f>$F$20-$F$21</f>
        <v>3.5942652329749102E-2</v>
      </c>
      <c r="G22" s="101"/>
    </row>
    <row r="23" spans="1:7">
      <c r="E23" s="87" t="s">
        <v>80</v>
      </c>
      <c r="F23" s="122">
        <f>$F$18+$F$22</f>
        <v>0.11668339307048986</v>
      </c>
    </row>
    <row r="24" spans="1:7">
      <c r="A24" s="98" t="s">
        <v>81</v>
      </c>
      <c r="B24" s="102"/>
      <c r="D24" s="100"/>
    </row>
    <row r="25" spans="1:7">
      <c r="A25" s="7" t="s">
        <v>82</v>
      </c>
      <c r="B25" s="126">
        <v>15462</v>
      </c>
      <c r="D25" s="100"/>
    </row>
    <row r="28" spans="1:7">
      <c r="A28" s="87" t="s">
        <v>83</v>
      </c>
      <c r="B28" s="112">
        <f>IF(FacilityType='Delay Reduction Factors'!N5,'Inputs &amp; Outputs'!B25*45%, B25*43%)</f>
        <v>6648.66</v>
      </c>
      <c r="D28" s="100"/>
      <c r="E28" s="103" t="s">
        <v>84</v>
      </c>
      <c r="F28" s="104" t="s">
        <v>2</v>
      </c>
      <c r="G28" s="105" t="s">
        <v>85</v>
      </c>
    </row>
    <row r="29" spans="1:7">
      <c r="A29" s="87" t="s">
        <v>86</v>
      </c>
      <c r="B29" s="95">
        <f>VLOOKUP(Year_Open_to_Traffic?,Calculations!H4:I36,2)</f>
        <v>9619.7543887463871</v>
      </c>
      <c r="D29" s="100"/>
      <c r="E29" s="89" t="s">
        <v>87</v>
      </c>
      <c r="F29" s="83">
        <f>$B$29*$F$23</f>
        <v>1122.4655825836646</v>
      </c>
      <c r="G29" s="84">
        <f>$B$29*$F$19</f>
        <v>1352.9719075785242</v>
      </c>
    </row>
    <row r="30" spans="1:7">
      <c r="B30" s="82"/>
      <c r="D30" s="100"/>
    </row>
    <row r="32" spans="1:7">
      <c r="A32" s="106" t="s">
        <v>88</v>
      </c>
      <c r="B32" s="119">
        <v>54</v>
      </c>
      <c r="D32" s="100"/>
    </row>
    <row r="33" spans="1:7" ht="28.9">
      <c r="A33" s="107" t="s">
        <v>89</v>
      </c>
      <c r="B33" s="120">
        <v>31</v>
      </c>
      <c r="D33" s="100"/>
      <c r="E33" s="100"/>
      <c r="F33" s="108"/>
    </row>
    <row r="34" spans="1:7">
      <c r="A34" s="109"/>
      <c r="B34" s="121"/>
      <c r="F34" s="108"/>
      <c r="G34" s="108"/>
    </row>
    <row r="35" spans="1:7">
      <c r="A35" s="87" t="s">
        <v>90</v>
      </c>
      <c r="B35" s="125">
        <f>$B$28</f>
        <v>6648.66</v>
      </c>
    </row>
    <row r="36" spans="1:7">
      <c r="A36" s="106" t="s">
        <v>91</v>
      </c>
      <c r="B36" s="119">
        <v>10668</v>
      </c>
    </row>
    <row r="37" spans="1:7">
      <c r="A37" s="106" t="s">
        <v>92</v>
      </c>
      <c r="B37" s="119">
        <v>9399</v>
      </c>
    </row>
    <row r="38" spans="1:7">
      <c r="A38" s="106" t="s">
        <v>93</v>
      </c>
      <c r="B38" s="119">
        <v>20510</v>
      </c>
    </row>
    <row r="39" spans="1:7">
      <c r="A39" s="106" t="s">
        <v>94</v>
      </c>
      <c r="B39" s="119">
        <v>14953</v>
      </c>
    </row>
    <row r="40" spans="1:7">
      <c r="A40" s="106" t="s">
        <v>95</v>
      </c>
      <c r="B40" s="119">
        <v>20510</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20110.19477726132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291841.05147175281</v>
      </c>
      <c r="F4" s="21">
        <f>'Inputs &amp; Outputs'!G29*Annual_Days_of_Travel</f>
        <v>351772.6959704163</v>
      </c>
      <c r="H4" s="49">
        <v>2018</v>
      </c>
      <c r="I4" s="50">
        <f>'Inputs &amp; Outputs'!B28</f>
        <v>6648.66</v>
      </c>
      <c r="J4" s="50">
        <f>IF(H4=Year_Open_to_Traffic?,$F$4,0)</f>
        <v>0</v>
      </c>
      <c r="K4" s="50">
        <f>IF(H4=Year_Open_to_Traffic?,Calculations!$E$4,0)</f>
        <v>0</v>
      </c>
      <c r="L4" s="50">
        <f>IF(AND(H4&gt;=Year_Open_to_Traffic?, Calculations!H4&lt;Year_Open_to_Traffic?+'Inputs &amp; Outputs'!B$21), 1, 0)</f>
        <v>0</v>
      </c>
      <c r="M4" s="65" t="s">
        <v>111</v>
      </c>
      <c r="N4" s="66">
        <f>MIN(E8,1)</f>
        <v>0.62323397075365583</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5.0698755528580941E-2</v>
      </c>
      <c r="F5" s="26"/>
      <c r="H5" s="14">
        <f t="shared" ref="H5:H36" si="3">H4+1</f>
        <v>2019</v>
      </c>
      <c r="I5" s="79">
        <f>(I4*M5)+I4</f>
        <v>6985.7387879326552</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5.0698755528580941E-2</v>
      </c>
      <c r="N5" s="71">
        <f t="shared" ref="N5:N11" si="6">N4*(1+IFERROR(_2018_2025_V_C_Growth,_2018_2045_V_C_Growth))</f>
        <v>0.59645086204444575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2.348700805898396E-2</v>
      </c>
      <c r="F6" s="26"/>
      <c r="H6" s="49">
        <f t="shared" si="3"/>
        <v>2020</v>
      </c>
      <c r="I6" s="79">
        <f t="shared" ref="I6:I36" si="10">(I5*M6)+I5</f>
        <v>7339.9070509285784</v>
      </c>
      <c r="J6" s="50">
        <f t="shared" si="4"/>
        <v>0</v>
      </c>
      <c r="K6" s="50">
        <f>IF(H6=Year_Open_to_Traffic?,Calculations!$E$4,K5+(K5*M6))</f>
        <v>0</v>
      </c>
      <c r="L6" s="50">
        <f>IF(AND(H6&gt;=Year_Open_to_Traffic?, Calculations!H6&lt;Year_Open_to_Traffic?+'Inputs &amp; Outputs'!B$21), 1, 0)</f>
        <v>0</v>
      </c>
      <c r="M6" s="65">
        <f t="shared" si="5"/>
        <v>5.0698755528580941E-2</v>
      </c>
      <c r="N6" s="71">
        <f t="shared" si="6"/>
        <v>0.57081874148060574</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3.0473487545145339E-2</v>
      </c>
      <c r="F7" s="26"/>
      <c r="H7" s="14">
        <f t="shared" si="3"/>
        <v>2021</v>
      </c>
      <c r="I7" s="79">
        <f t="shared" si="10"/>
        <v>7712.0312041061143</v>
      </c>
      <c r="J7" s="50">
        <f t="shared" si="4"/>
        <v>0</v>
      </c>
      <c r="K7" s="50">
        <f>IF(H7=Year_Open_to_Traffic?,Calculations!$E$4,K6+(K6*M7))</f>
        <v>0</v>
      </c>
      <c r="L7" s="50">
        <f>IF(AND(H7&gt;=Year_Open_to_Traffic?, Calculations!H7&lt;Year_Open_to_Traffic?+'Inputs &amp; Outputs'!B$21), 1, 0)</f>
        <v>0</v>
      </c>
      <c r="M7" s="65">
        <f t="shared" si="5"/>
        <v>5.0698755528580941E-2</v>
      </c>
      <c r="N7" s="71">
        <f t="shared" si="6"/>
        <v>0.54628814603209075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0.62323397075365583</v>
      </c>
      <c r="F8" s="26"/>
      <c r="H8" s="49">
        <f t="shared" si="3"/>
        <v>2022</v>
      </c>
      <c r="I8" s="79">
        <f t="shared" si="10"/>
        <v>8103.021588751878</v>
      </c>
      <c r="J8" s="50">
        <f t="shared" si="4"/>
        <v>0</v>
      </c>
      <c r="K8" s="50">
        <f>IF(H8=Year_Open_to_Traffic?,Calculations!$E$4,K7+(K7*M8))</f>
        <v>0</v>
      </c>
      <c r="L8" s="50">
        <f>IF(AND(H8&gt;=Year_Open_to_Traffic?, Calculations!H8&lt;Year_Open_to_Traffic?+'Inputs &amp; Outputs'!B$21), 1, 0)</f>
        <v>0</v>
      </c>
      <c r="M8" s="65">
        <f t="shared" si="5"/>
        <v>5.0698755528580941E-2</v>
      </c>
      <c r="N8" s="71">
        <f t="shared" si="6"/>
        <v>0.52281173831311289</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30</v>
      </c>
      <c r="D9" s="17" t="s">
        <v>119</v>
      </c>
      <c r="E9" s="22">
        <f>_2025_PeakVolume/_2025_Capacity</f>
        <v>0.45826426133593368</v>
      </c>
      <c r="F9" s="26"/>
      <c r="H9" s="14">
        <f t="shared" si="3"/>
        <v>2023</v>
      </c>
      <c r="I9" s="79">
        <f t="shared" si="10"/>
        <v>8513.8346993228224</v>
      </c>
      <c r="J9" s="50">
        <f t="shared" si="4"/>
        <v>0</v>
      </c>
      <c r="K9" s="50">
        <f>IF(H9=Year_Open_to_Traffic?,Calculations!$E$4,K8+(K8*M9))</f>
        <v>0</v>
      </c>
      <c r="L9" s="50">
        <f>IF(AND(H9&gt;=Year_Open_to_Traffic?, Calculations!H9&lt;Year_Open_to_Traffic?+'Inputs &amp; Outputs'!B$21), 1, 0)</f>
        <v>0</v>
      </c>
      <c r="M9" s="65">
        <f t="shared" si="5"/>
        <v>5.0698755528580941E-2</v>
      </c>
      <c r="N9" s="71">
        <f t="shared" si="6"/>
        <v>0.50034421523384554</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0.72905899561189669</v>
      </c>
      <c r="F10" s="26"/>
      <c r="H10" s="49">
        <f t="shared" si="3"/>
        <v>2024</v>
      </c>
      <c r="I10" s="79">
        <f t="shared" si="10"/>
        <v>8945.4755233545402</v>
      </c>
      <c r="J10" s="50">
        <f t="shared" si="4"/>
        <v>0</v>
      </c>
      <c r="K10" s="50">
        <f>IF(H10=Year_Open_to_Traffic?,Calculations!$E$4,K9+(K9*M10))</f>
        <v>0</v>
      </c>
      <c r="L10" s="50">
        <f>IF(AND(H10&gt;=Year_Open_to_Traffic?, Calculations!H10&lt;Year_Open_to_Traffic?+'Inputs &amp; Outputs'!B$21), 1, 0)</f>
        <v>0</v>
      </c>
      <c r="M10" s="65">
        <f t="shared" si="5"/>
        <v>5.0698755528580941E-2</v>
      </c>
      <c r="N10" s="71">
        <f t="shared" si="6"/>
        <v>0.47884222057776571</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-4.2974404422824075E-2</v>
      </c>
      <c r="F11" s="26"/>
      <c r="H11" s="14">
        <f t="shared" si="3"/>
        <v>2025</v>
      </c>
      <c r="I11" s="79">
        <f t="shared" si="10"/>
        <v>9398.9999999999964</v>
      </c>
      <c r="J11" s="50">
        <f t="shared" si="4"/>
        <v>0</v>
      </c>
      <c r="K11" s="50">
        <f>IF(H11=Year_Open_to_Traffic?,Calculations!$E$4,K10+(K10*M11))</f>
        <v>0</v>
      </c>
      <c r="L11" s="50">
        <f>IF(AND(H11&gt;=Year_Open_to_Traffic?, Calculations!H11&lt;Year_Open_to_Traffic?+'Inputs &amp; Outputs'!B$21), 1, 0)</f>
        <v>0</v>
      </c>
      <c r="M11" s="65">
        <f t="shared" si="5"/>
        <v>5.0698755528580941E-2</v>
      </c>
      <c r="N11" s="71">
        <f t="shared" si="6"/>
        <v>0.45826426133593368</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2.348700805898396E-2</v>
      </c>
      <c r="F12" s="26"/>
      <c r="H12" s="49">
        <v>2026</v>
      </c>
      <c r="I12" s="79">
        <f t="shared" si="10"/>
        <v>9619.7543887463871</v>
      </c>
      <c r="J12" s="50">
        <f t="shared" si="4"/>
        <v>351772.6959704163</v>
      </c>
      <c r="K12" s="50">
        <f>IF(H12=Year_Open_to_Traffic?,Calculations!$E$4,K11+(K11*M12))</f>
        <v>291841.05147175281</v>
      </c>
      <c r="L12" s="50">
        <f>IF(AND(H12&gt;=Year_Open_to_Traffic?, Calculations!H12&lt;Year_Open_to_Traffic?+'Inputs &amp; Outputs'!B$21), 1, 0)</f>
        <v>1</v>
      </c>
      <c r="M12" s="65">
        <f t="shared" ref="M12:M36" si="11">IFERROR(_2025_2045_Demand_Growth,_2018_2045_Demand_Growth)</f>
        <v>2.348700805898396E-2</v>
      </c>
      <c r="N12" s="71">
        <f t="shared" ref="N12:N36" si="12">N11*(1+IFERROR(_2025_2045_V_C_Growth,_2018_2045_V_C_Growth))</f>
        <v>0.46902751773507506</v>
      </c>
      <c r="O12" s="72">
        <f t="shared" si="7"/>
        <v>1</v>
      </c>
      <c r="P12" s="68">
        <f t="shared" si="8"/>
        <v>59931.644498663489</v>
      </c>
      <c r="Q12" s="69">
        <f t="shared" si="0"/>
        <v>1</v>
      </c>
      <c r="R12" s="70">
        <f t="shared" si="1"/>
        <v>21.265679592355859</v>
      </c>
      <c r="S12" s="77">
        <f t="shared" si="2"/>
        <v>1771.5371375986606</v>
      </c>
      <c r="T12" s="64">
        <f t="shared" si="9"/>
        <v>1031.0507431575077</v>
      </c>
      <c r="W12" s="58"/>
    </row>
    <row r="13" spans="1:24">
      <c r="A13" s="17" t="s">
        <v>55</v>
      </c>
      <c r="B13" s="18">
        <v>0.43</v>
      </c>
      <c r="D13" s="17" t="s">
        <v>125</v>
      </c>
      <c r="E13" s="39">
        <f>(E10/E8)^(1/(2045-2018))-1</f>
        <v>5.8255194749607941E-3</v>
      </c>
      <c r="F13" s="26"/>
      <c r="H13" s="14">
        <f t="shared" si="3"/>
        <v>2027</v>
      </c>
      <c r="I13" s="79">
        <f t="shared" si="10"/>
        <v>9845.6936376003196</v>
      </c>
      <c r="J13" s="50">
        <f t="shared" si="4"/>
        <v>360034.78411560401</v>
      </c>
      <c r="K13" s="50">
        <f>IF(H13=Year_Open_to_Traffic?,Calculations!$E$4,K12+(K12*M13))</f>
        <v>298695.52459961222</v>
      </c>
      <c r="L13" s="50">
        <f>IF(AND(H13&gt;=Year_Open_to_Traffic?, Calculations!H13&lt;Year_Open_to_Traffic?+'Inputs &amp; Outputs'!B$21), 1, 0)</f>
        <v>1</v>
      </c>
      <c r="M13" s="65">
        <f t="shared" si="11"/>
        <v>2.348700805898396E-2</v>
      </c>
      <c r="N13" s="71">
        <f t="shared" si="12"/>
        <v>0.48004357082400401</v>
      </c>
      <c r="O13" s="72">
        <f t="shared" si="7"/>
        <v>1</v>
      </c>
      <c r="P13" s="68">
        <f t="shared" si="8"/>
        <v>61339.259515991784</v>
      </c>
      <c r="Q13" s="69">
        <f t="shared" si="0"/>
        <v>1</v>
      </c>
      <c r="R13" s="70">
        <f t="shared" si="1"/>
        <v>21.754790222980041</v>
      </c>
      <c r="S13" s="77">
        <f t="shared" si="2"/>
        <v>1854.8475852526335</v>
      </c>
      <c r="T13" s="64">
        <f t="shared" si="9"/>
        <v>1008.9141889696344</v>
      </c>
      <c r="W13" s="58"/>
    </row>
    <row r="14" spans="1:24">
      <c r="H14" s="49">
        <f>H13+1</f>
        <v>2028</v>
      </c>
      <c r="I14" s="79">
        <f t="shared" si="10"/>
        <v>10076.939523412926</v>
      </c>
      <c r="J14" s="50">
        <f t="shared" si="4"/>
        <v>368490.92399164173</v>
      </c>
      <c r="K14" s="50">
        <f>IF(H14=Year_Open_to_Traffic?,Calculations!$E$4,K13+(K13*M14))</f>
        <v>305710.98879306577</v>
      </c>
      <c r="L14" s="50">
        <f>IF(AND(H14&gt;=Year_Open_to_Traffic?, Calculations!H14&lt;Year_Open_to_Traffic?+'Inputs &amp; Outputs'!B$21), 1, 0)</f>
        <v>1</v>
      </c>
      <c r="M14" s="65">
        <f t="shared" si="11"/>
        <v>2.348700805898396E-2</v>
      </c>
      <c r="N14" s="71">
        <f t="shared" si="12"/>
        <v>0.4913183580406108</v>
      </c>
      <c r="O14" s="72">
        <f t="shared" si="7"/>
        <v>1</v>
      </c>
      <c r="P14" s="68">
        <f t="shared" si="8"/>
        <v>62779.935198575957</v>
      </c>
      <c r="Q14" s="69">
        <f t="shared" si="0"/>
        <v>1</v>
      </c>
      <c r="R14" s="70">
        <f t="shared" si="1"/>
        <v>22.255150398108579</v>
      </c>
      <c r="S14" s="77">
        <f t="shared" si="2"/>
        <v>1942.0758907606676</v>
      </c>
      <c r="T14" s="64">
        <f t="shared" si="9"/>
        <v>987.25290434008684</v>
      </c>
      <c r="W14" s="58"/>
    </row>
    <row r="15" spans="1:24">
      <c r="H15" s="14">
        <f t="shared" si="3"/>
        <v>2029</v>
      </c>
      <c r="I15" s="79">
        <f t="shared" si="10"/>
        <v>10313.61668320922</v>
      </c>
      <c r="J15" s="50">
        <f t="shared" si="4"/>
        <v>377145.67329309584</v>
      </c>
      <c r="K15" s="50">
        <f>IF(H15=Year_Open_to_Traffic?,Calculations!$E$4,K14+(K14*M15))</f>
        <v>312891.22525056847</v>
      </c>
      <c r="L15" s="50">
        <f>IF(AND(H15&gt;=Year_Open_to_Traffic?, Calculations!H15&lt;Year_Open_to_Traffic?+'Inputs &amp; Outputs'!B$21), 1, 0)</f>
        <v>1</v>
      </c>
      <c r="M15" s="65">
        <f t="shared" si="11"/>
        <v>2.348700805898396E-2</v>
      </c>
      <c r="N15" s="71">
        <f t="shared" si="12"/>
        <v>0.50285795627543739</v>
      </c>
      <c r="O15" s="72">
        <f t="shared" si="7"/>
        <v>1</v>
      </c>
      <c r="P15" s="68">
        <f t="shared" si="8"/>
        <v>64254.448042527365</v>
      </c>
      <c r="Q15" s="69">
        <f t="shared" si="0"/>
        <v>1</v>
      </c>
      <c r="R15" s="70">
        <f t="shared" si="1"/>
        <v>22.767018857265079</v>
      </c>
      <c r="S15" s="77">
        <f t="shared" si="2"/>
        <v>2033.4063000438578</v>
      </c>
      <c r="T15" s="64">
        <f t="shared" si="9"/>
        <v>966.0566852799725</v>
      </c>
      <c r="W15" s="58"/>
    </row>
    <row r="16" spans="1:24">
      <c r="H16" s="49">
        <f t="shared" si="3"/>
        <v>2030</v>
      </c>
      <c r="I16" s="79">
        <f t="shared" si="10"/>
        <v>10555.852681365026</v>
      </c>
      <c r="J16" s="50">
        <f t="shared" si="4"/>
        <v>386003.69676114171</v>
      </c>
      <c r="K16" s="50">
        <f>IF(H16=Year_Open_to_Traffic?,Calculations!$E$4,K15+(K15*M16))</f>
        <v>320240.10397961392</v>
      </c>
      <c r="L16" s="50">
        <f>IF(AND(H16&gt;=Year_Open_to_Traffic?, Calculations!H16&lt;Year_Open_to_Traffic?+'Inputs &amp; Outputs'!B$21), 1, 0)</f>
        <v>1</v>
      </c>
      <c r="M16" s="65">
        <f t="shared" si="11"/>
        <v>2.348700805898396E-2</v>
      </c>
      <c r="N16" s="71">
        <f t="shared" si="12"/>
        <v>0.51466858514700276</v>
      </c>
      <c r="O16" s="72">
        <f t="shared" si="7"/>
        <v>1</v>
      </c>
      <c r="P16" s="68">
        <f t="shared" si="8"/>
        <v>65763.592781527783</v>
      </c>
      <c r="Q16" s="69">
        <f t="shared" si="0"/>
        <v>1</v>
      </c>
      <c r="R16" s="70">
        <f t="shared" si="1"/>
        <v>23.290660290982171</v>
      </c>
      <c r="S16" s="77">
        <f t="shared" si="2"/>
        <v>2129.0317235947805</v>
      </c>
      <c r="T16" s="64">
        <f t="shared" si="9"/>
        <v>945.31554687899802</v>
      </c>
      <c r="W16" s="58"/>
    </row>
    <row r="17" spans="1:23">
      <c r="A17" s="27"/>
      <c r="H17" s="14">
        <f t="shared" si="3"/>
        <v>2031</v>
      </c>
      <c r="I17" s="79">
        <f t="shared" si="10"/>
        <v>10803.778078361694</v>
      </c>
      <c r="J17" s="50">
        <f t="shared" si="4"/>
        <v>395069.76869776822</v>
      </c>
      <c r="K17" s="50">
        <f>IF(H17=Year_Open_to_Traffic?,Calculations!$E$4,K16+(K16*M17))</f>
        <v>327761.585882593</v>
      </c>
      <c r="L17" s="50">
        <f>IF(AND(H17&gt;=Year_Open_to_Traffic?, Calculations!H17&lt;Year_Open_to_Traffic?+'Inputs &amp; Outputs'!B$21), 1, 0)</f>
        <v>1</v>
      </c>
      <c r="M17" s="65">
        <f t="shared" si="11"/>
        <v>2.348700805898396E-2</v>
      </c>
      <c r="N17" s="71">
        <f t="shared" si="12"/>
        <v>0.5267566103540563</v>
      </c>
      <c r="O17" s="72">
        <f t="shared" si="7"/>
        <v>1</v>
      </c>
      <c r="P17" s="68">
        <f t="shared" si="8"/>
        <v>67308.182815175212</v>
      </c>
      <c r="Q17" s="69">
        <f t="shared" si="0"/>
        <v>1</v>
      </c>
      <c r="R17" s="70">
        <f t="shared" si="1"/>
        <v>23.82634547767476</v>
      </c>
      <c r="S17" s="77">
        <f t="shared" si="2"/>
        <v>2229.1541439481098</v>
      </c>
      <c r="T17" s="64">
        <f t="shared" si="9"/>
        <v>925.01971860187302</v>
      </c>
      <c r="W17" s="58"/>
    </row>
    <row r="18" spans="1:23">
      <c r="H18" s="49">
        <f t="shared" si="3"/>
        <v>2032</v>
      </c>
      <c r="I18" s="79">
        <f t="shared" si="10"/>
        <v>11057.526501155649</v>
      </c>
      <c r="J18" s="50">
        <f t="shared" si="4"/>
        <v>404348.77553903364</v>
      </c>
      <c r="K18" s="50">
        <f>IF(H18=Year_Open_to_Traffic?,Calculations!$E$4,K17+(K17*M18))</f>
        <v>335459.72489164281</v>
      </c>
      <c r="L18" s="50">
        <f>IF(AND(H18&gt;=Year_Open_to_Traffic?, Calculations!H18&lt;Year_Open_to_Traffic?+'Inputs &amp; Outputs'!B$21), 1, 0)</f>
        <v>1</v>
      </c>
      <c r="M18" s="65">
        <f t="shared" si="11"/>
        <v>2.348700805898396E-2</v>
      </c>
      <c r="N18" s="71">
        <f t="shared" si="12"/>
        <v>0.5391285471065651</v>
      </c>
      <c r="O18" s="72">
        <f t="shared" si="7"/>
        <v>1</v>
      </c>
      <c r="P18" s="68">
        <f t="shared" si="8"/>
        <v>68889.050647390832</v>
      </c>
      <c r="Q18" s="69">
        <f t="shared" si="0"/>
        <v>1</v>
      </c>
      <c r="R18" s="70">
        <f t="shared" si="1"/>
        <v>24.374351423661277</v>
      </c>
      <c r="S18" s="77">
        <f t="shared" si="2"/>
        <v>2333.9850423134471</v>
      </c>
      <c r="T18" s="64">
        <f t="shared" si="9"/>
        <v>905.15963968570543</v>
      </c>
      <c r="W18" s="58"/>
    </row>
    <row r="19" spans="1:23">
      <c r="H19" s="14">
        <f t="shared" si="3"/>
        <v>2033</v>
      </c>
      <c r="I19" s="79">
        <f t="shared" si="10"/>
        <v>11317.234715200721</v>
      </c>
      <c r="J19" s="50">
        <f t="shared" si="4"/>
        <v>413845.71848875924</v>
      </c>
      <c r="K19" s="50">
        <f>IF(H19=Year_Open_to_Traffic?,Calculations!$E$4,K18+(K18*M19))</f>
        <v>343338.67015363736</v>
      </c>
      <c r="L19" s="50">
        <f>IF(AND(H19&gt;=Year_Open_to_Traffic?, Calculations!H19&lt;Year_Open_to_Traffic?+'Inputs &amp; Outputs'!B$21), 1, 0)</f>
        <v>1</v>
      </c>
      <c r="M19" s="65">
        <f t="shared" si="11"/>
        <v>2.348700805898396E-2</v>
      </c>
      <c r="N19" s="71">
        <f t="shared" si="12"/>
        <v>0.55179106363728536</v>
      </c>
      <c r="O19" s="72">
        <f t="shared" si="7"/>
        <v>1</v>
      </c>
      <c r="P19" s="68">
        <f t="shared" si="8"/>
        <v>70507.048335121886</v>
      </c>
      <c r="Q19" s="69">
        <f t="shared" si="0"/>
        <v>1</v>
      </c>
      <c r="R19" s="70">
        <f t="shared" si="1"/>
        <v>24.934961506405479</v>
      </c>
      <c r="S19" s="77">
        <f t="shared" si="2"/>
        <v>2443.7458452714832</v>
      </c>
      <c r="T19" s="64">
        <f t="shared" si="9"/>
        <v>885.7259546362028</v>
      </c>
      <c r="W19" s="58"/>
    </row>
    <row r="20" spans="1:23">
      <c r="H20" s="49">
        <f t="shared" si="3"/>
        <v>2034</v>
      </c>
      <c r="I20" s="79">
        <f t="shared" si="10"/>
        <v>11583.042698162053</v>
      </c>
      <c r="J20" s="50">
        <f t="shared" si="4"/>
        <v>423565.71621408075</v>
      </c>
      <c r="K20" s="50">
        <f>IF(H20=Year_Open_to_Traffic?,Calculations!$E$4,K19+(K19*M20))</f>
        <v>351402.66826649668</v>
      </c>
      <c r="L20" s="50">
        <f>IF(AND(H20&gt;=Year_Open_to_Traffic?, Calculations!H20&lt;Year_Open_to_Traffic?+'Inputs &amp; Outputs'!B$21), 1, 0)</f>
        <v>1</v>
      </c>
      <c r="M20" s="65">
        <f t="shared" si="11"/>
        <v>2.348700805898396E-2</v>
      </c>
      <c r="N20" s="71">
        <f t="shared" si="12"/>
        <v>0.56475098479580965</v>
      </c>
      <c r="O20" s="72">
        <f t="shared" si="7"/>
        <v>1</v>
      </c>
      <c r="P20" s="68">
        <f t="shared" si="8"/>
        <v>72163.047947584069</v>
      </c>
      <c r="Q20" s="69">
        <f t="shared" si="0"/>
        <v>1</v>
      </c>
      <c r="R20" s="70">
        <f t="shared" si="1"/>
        <v>25.508465621052807</v>
      </c>
      <c r="S20" s="77">
        <f t="shared" si="2"/>
        <v>2558.6683924770532</v>
      </c>
      <c r="T20" s="64">
        <f t="shared" si="9"/>
        <v>866.70950882058219</v>
      </c>
      <c r="W20" s="58"/>
    </row>
    <row r="21" spans="1:23">
      <c r="H21" s="14">
        <f t="shared" si="3"/>
        <v>2035</v>
      </c>
      <c r="I21" s="79">
        <f t="shared" si="10"/>
        <v>11855.093715361341</v>
      </c>
      <c r="J21" s="50">
        <f t="shared" si="4"/>
        <v>433514.00760431017</v>
      </c>
      <c r="K21" s="50">
        <f>IF(H21=Year_Open_to_Traffic?,Calculations!$E$4,K20+(K20*M21))</f>
        <v>359656.06556802033</v>
      </c>
      <c r="L21" s="50">
        <f>IF(AND(H21&gt;=Year_Open_to_Traffic?, Calculations!H21&lt;Year_Open_to_Traffic?+'Inputs &amp; Outputs'!B$21), 1, 0)</f>
        <v>1</v>
      </c>
      <c r="M21" s="65">
        <f t="shared" si="11"/>
        <v>2.348700805898396E-2</v>
      </c>
      <c r="N21" s="71">
        <f t="shared" si="12"/>
        <v>0.57801529572702792</v>
      </c>
      <c r="O21" s="72">
        <f t="shared" si="7"/>
        <v>1</v>
      </c>
      <c r="P21" s="68">
        <f t="shared" si="8"/>
        <v>73857.942036289838</v>
      </c>
      <c r="Q21" s="69">
        <f t="shared" si="0"/>
        <v>1</v>
      </c>
      <c r="R21" s="70">
        <f t="shared" si="1"/>
        <v>26.095160330337016</v>
      </c>
      <c r="S21" s="77">
        <f t="shared" si="2"/>
        <v>2678.9954263569525</v>
      </c>
      <c r="T21" s="64">
        <f t="shared" si="9"/>
        <v>848.10134415509117</v>
      </c>
      <c r="W21" s="58"/>
    </row>
    <row r="22" spans="1:23">
      <c r="H22" s="49">
        <f>H21+1</f>
        <v>2036</v>
      </c>
      <c r="I22" s="79">
        <f t="shared" si="10"/>
        <v>12133.534396994044</v>
      </c>
      <c r="J22" s="50">
        <f t="shared" si="4"/>
        <v>443695.95459459507</v>
      </c>
      <c r="K22" s="50">
        <f>IF(H22=Year_Open_to_Traffic?,Calculations!$E$4,K21+(K21*M22))</f>
        <v>368103.3104784789</v>
      </c>
      <c r="L22" s="50">
        <f>IF(AND(H22&gt;=Year_Open_to_Traffic?, Calculations!H22&lt;Year_Open_to_Traffic?+'Inputs &amp; Outputs'!B$21), 1, 0)</f>
        <v>1</v>
      </c>
      <c r="M22" s="65">
        <f t="shared" si="11"/>
        <v>2.348700805898396E-2</v>
      </c>
      <c r="N22" s="71">
        <f t="shared" si="12"/>
        <v>0.59159114563598458</v>
      </c>
      <c r="O22" s="72">
        <f t="shared" si="7"/>
        <v>1</v>
      </c>
      <c r="P22" s="68">
        <f t="shared" si="8"/>
        <v>75592.644116116164</v>
      </c>
      <c r="Q22" s="69">
        <f t="shared" si="0"/>
        <v>1</v>
      </c>
      <c r="R22" s="70">
        <f t="shared" si="1"/>
        <v>26.695349017934767</v>
      </c>
      <c r="S22" s="77">
        <f t="shared" si="2"/>
        <v>2804.9811048368729</v>
      </c>
      <c r="T22" s="64">
        <f t="shared" si="9"/>
        <v>829.89269488512082</v>
      </c>
      <c r="W22" s="58"/>
    </row>
    <row r="23" spans="1:23">
      <c r="H23" s="14">
        <f t="shared" si="3"/>
        <v>2037</v>
      </c>
      <c r="I23" s="79">
        <f t="shared" si="10"/>
        <v>12418.514817160201</v>
      </c>
      <c r="J23" s="50">
        <f t="shared" si="4"/>
        <v>454117.04505589692</v>
      </c>
      <c r="K23" s="50">
        <f>IF(H23=Year_Open_to_Traffic?,Calculations!$E$4,K22+(K22*M23))</f>
        <v>376748.9558982256</v>
      </c>
      <c r="L23" s="50">
        <f>IF(AND(H23&gt;=Year_Open_to_Traffic?, Calculations!H23&lt;Year_Open_to_Traffic?+'Inputs &amp; Outputs'!B$21), 1, 0)</f>
        <v>1</v>
      </c>
      <c r="M23" s="65">
        <f t="shared" si="11"/>
        <v>2.348700805898396E-2</v>
      </c>
      <c r="N23" s="71">
        <f t="shared" si="12"/>
        <v>0.60548585164116053</v>
      </c>
      <c r="O23" s="72">
        <f t="shared" si="7"/>
        <v>1</v>
      </c>
      <c r="P23" s="68">
        <f t="shared" si="8"/>
        <v>77368.089157671318</v>
      </c>
      <c r="Q23" s="69">
        <f t="shared" si="0"/>
        <v>1</v>
      </c>
      <c r="R23" s="70">
        <f t="shared" si="1"/>
        <v>27.309342045347261</v>
      </c>
      <c r="S23" s="77">
        <f t="shared" si="2"/>
        <v>2936.8915381804586</v>
      </c>
      <c r="T23" s="64">
        <f t="shared" si="9"/>
        <v>812.07498345591887</v>
      </c>
      <c r="W23" s="58"/>
    </row>
    <row r="24" spans="1:23">
      <c r="H24" s="49">
        <f t="shared" si="3"/>
        <v>2038</v>
      </c>
      <c r="I24" s="79">
        <f t="shared" si="10"/>
        <v>12710.188574751455</v>
      </c>
      <c r="J24" s="50">
        <f t="shared" si="4"/>
        <v>464782.89575284673</v>
      </c>
      <c r="K24" s="50">
        <f>IF(H24=Year_Open_to_Traffic?,Calculations!$E$4,K23+(K23*M24))</f>
        <v>385597.66166162101</v>
      </c>
      <c r="L24" s="50">
        <f>IF(AND(H24&gt;=Year_Open_to_Traffic?, Calculations!H24&lt;Year_Open_to_Traffic?+'Inputs &amp; Outputs'!B$21), 1, 0)</f>
        <v>1</v>
      </c>
      <c r="M24" s="65">
        <f t="shared" si="11"/>
        <v>2.348700805898396E-2</v>
      </c>
      <c r="N24" s="71">
        <f t="shared" si="12"/>
        <v>0.61970690271825724</v>
      </c>
      <c r="O24" s="72">
        <f t="shared" si="7"/>
        <v>1</v>
      </c>
      <c r="P24" s="68">
        <f>(J24-K24)*L24</f>
        <v>79185.23409122572</v>
      </c>
      <c r="Q24" s="69">
        <f t="shared" si="0"/>
        <v>1</v>
      </c>
      <c r="R24" s="70">
        <f t="shared" si="1"/>
        <v>27.93745691239025</v>
      </c>
      <c r="S24" s="77">
        <f t="shared" si="2"/>
        <v>3075.0053510744037</v>
      </c>
      <c r="T24" s="64">
        <f t="shared" si="9"/>
        <v>794.6398164719576</v>
      </c>
      <c r="W24" s="58"/>
    </row>
    <row r="25" spans="1:23">
      <c r="H25" s="14">
        <f t="shared" si="3"/>
        <v>2039</v>
      </c>
      <c r="I25" s="79">
        <f t="shared" si="10"/>
        <v>13008.712876237849</v>
      </c>
      <c r="J25" s="50">
        <f t="shared" si="4"/>
        <v>475699.25537107175</v>
      </c>
      <c r="K25" s="50">
        <f>IF(H25=Year_Open_to_Traffic?,Calculations!$E$4,K24+(K24*M25))</f>
        <v>394654.19704859285</v>
      </c>
      <c r="L25" s="50">
        <f>IF(AND(H25&gt;=Year_Open_to_Traffic?, Calculations!H25&lt;Year_Open_to_Traffic?+'Inputs &amp; Outputs'!B$21), 1, 0)</f>
        <v>1</v>
      </c>
      <c r="M25" s="65">
        <f t="shared" si="11"/>
        <v>2.348700805898396E-2</v>
      </c>
      <c r="N25" s="71">
        <f t="shared" si="12"/>
        <v>0.63426196373660892</v>
      </c>
      <c r="O25" s="72">
        <f t="shared" si="7"/>
        <v>1</v>
      </c>
      <c r="P25" s="68">
        <f t="shared" si="8"/>
        <v>81045.058322478901</v>
      </c>
      <c r="Q25" s="69">
        <f t="shared" si="0"/>
        <v>1</v>
      </c>
      <c r="R25" s="70">
        <f t="shared" si="1"/>
        <v>28.580018421375218</v>
      </c>
      <c r="S25" s="77">
        <f t="shared" si="2"/>
        <v>3219.6142711468469</v>
      </c>
      <c r="T25" s="64">
        <f t="shared" si="9"/>
        <v>777.57898074305501</v>
      </c>
      <c r="W25" s="58"/>
    </row>
    <row r="26" spans="1:23">
      <c r="H26" s="49">
        <f t="shared" si="3"/>
        <v>2040</v>
      </c>
      <c r="I26" s="79">
        <f t="shared" si="10"/>
        <v>13314.248620399056</v>
      </c>
      <c r="J26" s="50">
        <f t="shared" si="4"/>
        <v>486872.00761562475</v>
      </c>
      <c r="K26" s="50">
        <f>IF(H26=Year_Open_to_Traffic?,Calculations!$E$4,K25+(K25*M26))</f>
        <v>403923.44335518498</v>
      </c>
      <c r="L26" s="50">
        <f>IF(AND(H26&gt;=Year_Open_to_Traffic?, Calculations!H26&lt;Year_Open_to_Traffic?+'Inputs &amp; Outputs'!B$21), 1, 0)</f>
        <v>1</v>
      </c>
      <c r="M26" s="65">
        <f t="shared" si="11"/>
        <v>2.348700805898396E-2</v>
      </c>
      <c r="N26" s="71">
        <f t="shared" si="12"/>
        <v>0.64915887959039764</v>
      </c>
      <c r="O26" s="72">
        <f t="shared" si="7"/>
        <v>1</v>
      </c>
      <c r="P26" s="68">
        <f t="shared" si="8"/>
        <v>82948.564260439773</v>
      </c>
      <c r="Q26" s="69">
        <f t="shared" si="0"/>
        <v>1</v>
      </c>
      <c r="R26" s="70">
        <f t="shared" si="1"/>
        <v>29.237358845066851</v>
      </c>
      <c r="S26" s="77">
        <f t="shared" si="2"/>
        <v>3371.0237451621351</v>
      </c>
      <c r="T26" s="64">
        <f t="shared" si="9"/>
        <v>760.88443941538299</v>
      </c>
      <c r="W26" s="58"/>
    </row>
    <row r="27" spans="1:23">
      <c r="H27" s="14">
        <f t="shared" si="3"/>
        <v>2041</v>
      </c>
      <c r="I27" s="79">
        <f t="shared" si="10"/>
        <v>13626.960485045684</v>
      </c>
      <c r="J27" s="50">
        <f t="shared" si="4"/>
        <v>498307.17438218661</v>
      </c>
      <c r="K27" s="50">
        <f>IF(H27=Year_Open_to_Traffic?,Calculations!$E$4,K26+(K26*M27))</f>
        <v>413410.39652448078</v>
      </c>
      <c r="L27" s="50">
        <f>IF(AND(H27&gt;=Year_Open_to_Traffic?, Calculations!H27&lt;Year_Open_to_Traffic?+'Inputs &amp; Outputs'!B$21), 1, 0)</f>
        <v>1</v>
      </c>
      <c r="M27" s="65">
        <f t="shared" si="11"/>
        <v>2.348700805898396E-2</v>
      </c>
      <c r="N27" s="71">
        <f t="shared" si="12"/>
        <v>0.66440567942689832</v>
      </c>
      <c r="O27" s="72">
        <f t="shared" si="7"/>
        <v>1</v>
      </c>
      <c r="P27" s="68">
        <f t="shared" si="8"/>
        <v>84896.777857705834</v>
      </c>
      <c r="Q27" s="69">
        <f t="shared" si="0"/>
        <v>1</v>
      </c>
      <c r="R27" s="70">
        <f t="shared" si="1"/>
        <v>29.909818098503379</v>
      </c>
      <c r="S27" s="77">
        <f t="shared" si="2"/>
        <v>3529.553584193513</v>
      </c>
      <c r="T27" s="64">
        <f t="shared" si="9"/>
        <v>744.54832818554428</v>
      </c>
      <c r="W27" s="58"/>
    </row>
    <row r="28" spans="1:23">
      <c r="H28" s="49">
        <f t="shared" si="3"/>
        <v>2042</v>
      </c>
      <c r="I28" s="79">
        <f t="shared" si="10"/>
        <v>13947.017015777408</v>
      </c>
      <c r="J28" s="50">
        <f t="shared" si="4"/>
        <v>510010.91900275054</v>
      </c>
      <c r="K28" s="50">
        <f>IF(H28=Year_Open_to_Traffic?,Calculations!$E$4,K27+(K27*M28))</f>
        <v>423120.16983931902</v>
      </c>
      <c r="L28" s="50">
        <f>IF(AND(H28&gt;=Year_Open_to_Traffic?, Calculations!H28&lt;Year_Open_to_Traffic?+'Inputs &amp; Outputs'!B$21), 1, 0)</f>
        <v>1</v>
      </c>
      <c r="M28" s="65">
        <f t="shared" si="11"/>
        <v>2.348700805898396E-2</v>
      </c>
      <c r="N28" s="71">
        <f t="shared" si="12"/>
        <v>0.68001058097403255</v>
      </c>
      <c r="O28" s="72">
        <f t="shared" si="7"/>
        <v>1</v>
      </c>
      <c r="P28" s="68">
        <f t="shared" si="8"/>
        <v>86890.749163431523</v>
      </c>
      <c r="Q28" s="69">
        <f t="shared" si="0"/>
        <v>1</v>
      </c>
      <c r="R28" s="70">
        <f t="shared" si="1"/>
        <v>30.597743914768959</v>
      </c>
      <c r="S28" s="77">
        <f t="shared" si="2"/>
        <v>3695.5386391364927</v>
      </c>
      <c r="T28" s="64">
        <f t="shared" si="9"/>
        <v>728.56295159593424</v>
      </c>
      <c r="W28" s="58"/>
    </row>
    <row r="29" spans="1:23">
      <c r="H29" s="14">
        <f t="shared" si="3"/>
        <v>2043</v>
      </c>
      <c r="I29" s="79">
        <f t="shared" si="10"/>
        <v>14274.590716825758</v>
      </c>
      <c r="J29" s="50">
        <f t="shared" si="4"/>
        <v>521989.54956753796</v>
      </c>
      <c r="K29" s="50">
        <f>IF(H29=Year_Open_to_Traffic?,Calculations!$E$4,K28+(K28*M29))</f>
        <v>433057.99667825375</v>
      </c>
      <c r="L29" s="50">
        <f>IF(AND(H29&gt;=Year_Open_to_Traffic?, Calculations!H29&lt;Year_Open_to_Traffic?+'Inputs &amp; Outputs'!B$21), 1, 0)</f>
        <v>1</v>
      </c>
      <c r="M29" s="65">
        <f t="shared" si="11"/>
        <v>2.348700805898396E-2</v>
      </c>
      <c r="N29" s="71">
        <f t="shared" si="12"/>
        <v>0.69598199496956403</v>
      </c>
      <c r="O29" s="72">
        <f t="shared" si="7"/>
        <v>1</v>
      </c>
      <c r="P29" s="68">
        <f t="shared" si="8"/>
        <v>88931.552889284212</v>
      </c>
      <c r="Q29" s="69">
        <f t="shared" si="0"/>
        <v>1</v>
      </c>
      <c r="R29" s="70">
        <f t="shared" si="1"/>
        <v>31.301492024808638</v>
      </c>
      <c r="S29" s="77">
        <f t="shared" si="2"/>
        <v>3869.3295079897102</v>
      </c>
      <c r="T29" s="64">
        <f t="shared" si="9"/>
        <v>712.920779409636</v>
      </c>
      <c r="W29" s="58"/>
    </row>
    <row r="30" spans="1:23">
      <c r="H30" s="14">
        <f t="shared" si="3"/>
        <v>2044</v>
      </c>
      <c r="I30" s="79">
        <f t="shared" si="10"/>
        <v>14609.858144030542</v>
      </c>
      <c r="J30" s="50">
        <f t="shared" si="4"/>
        <v>534249.52232493612</v>
      </c>
      <c r="K30" s="50">
        <f>IF(H30=Year_Open_to_Traffic?,Calculations!$E$4,K29+(K29*M30))</f>
        <v>443229.23333624337</v>
      </c>
      <c r="L30" s="50">
        <f>IF(AND(H30&gt;=Year_Open_to_Traffic?, Calculations!H30&lt;Year_Open_to_Traffic?+'Inputs &amp; Outputs'!B$21), 1, 0)</f>
        <v>1</v>
      </c>
      <c r="M30" s="65">
        <f t="shared" si="11"/>
        <v>2.348700805898396E-2</v>
      </c>
      <c r="N30" s="71">
        <f t="shared" si="12"/>
        <v>0.71232852969432192</v>
      </c>
      <c r="O30" s="72">
        <f t="shared" si="7"/>
        <v>1</v>
      </c>
      <c r="P30" s="68">
        <f t="shared" si="8"/>
        <v>91020.288988692744</v>
      </c>
      <c r="Q30" s="69">
        <f t="shared" si="0"/>
        <v>1</v>
      </c>
      <c r="R30" s="70">
        <f t="shared" si="1"/>
        <v>32.021426341379232</v>
      </c>
      <c r="S30" s="77">
        <f t="shared" si="2"/>
        <v>4051.2932763972412</v>
      </c>
      <c r="T30" s="64">
        <f t="shared" si="9"/>
        <v>697.61444306315047</v>
      </c>
      <c r="W30" s="58"/>
    </row>
    <row r="31" spans="1:23">
      <c r="H31" s="14">
        <f t="shared" si="3"/>
        <v>2045</v>
      </c>
      <c r="I31" s="79">
        <f t="shared" si="10"/>
        <v>14953</v>
      </c>
      <c r="J31" s="50">
        <f t="shared" si="4"/>
        <v>546797.44516129023</v>
      </c>
      <c r="K31" s="50">
        <f>IF(H31=Year_Open_to_Traffic?,Calculations!$E$4,K30+(K30*M31))</f>
        <v>453639.36191158899</v>
      </c>
      <c r="L31" s="50">
        <f>IF(AND(H31&gt;=Year_Open_to_Traffic?, Calculations!H31&lt;Year_Open_to_Traffic?+'Inputs &amp; Outputs'!B$21), 1, 0)</f>
        <v>1</v>
      </c>
      <c r="M31" s="65">
        <f t="shared" si="11"/>
        <v>2.348700805898396E-2</v>
      </c>
      <c r="N31" s="71">
        <f t="shared" si="12"/>
        <v>0.72905899561189669</v>
      </c>
      <c r="O31" s="72">
        <f t="shared" si="7"/>
        <v>1</v>
      </c>
      <c r="P31" s="68">
        <f t="shared" si="8"/>
        <v>93158.083249701245</v>
      </c>
      <c r="Q31" s="69">
        <f t="shared" si="0"/>
        <v>1</v>
      </c>
      <c r="R31" s="70">
        <f t="shared" si="1"/>
        <v>32.757919147230957</v>
      </c>
      <c r="S31" s="77">
        <f t="shared" si="2"/>
        <v>4241.8142930165659</v>
      </c>
      <c r="T31" s="64">
        <f t="shared" si="9"/>
        <v>682.6367321952855</v>
      </c>
      <c r="W31" s="58"/>
    </row>
    <row r="32" spans="1:23">
      <c r="H32" s="14">
        <f t="shared" si="3"/>
        <v>2046</v>
      </c>
      <c r="I32" s="79">
        <f t="shared" si="10"/>
        <v>15304.201231505987</v>
      </c>
      <c r="J32" s="50">
        <f t="shared" si="4"/>
        <v>559640.08116242534</v>
      </c>
      <c r="K32" s="50">
        <f>IF(H32=Year_Open_to_Traffic?,Calculations!$E$4,K31+(K31*M32))</f>
        <v>464293.99326067884</v>
      </c>
      <c r="L32" s="50">
        <f>IF(AND(H32&gt;=Year_Open_to_Traffic?, Calculations!H32&lt;Year_Open_to_Traffic?+'Inputs &amp; Outputs'!B$21), 1, 0)</f>
        <v>1</v>
      </c>
      <c r="M32" s="65">
        <f t="shared" si="11"/>
        <v>2.348700805898396E-2</v>
      </c>
      <c r="N32" s="71">
        <f t="shared" si="12"/>
        <v>0.74618241011730801</v>
      </c>
      <c r="O32" s="72">
        <f t="shared" si="7"/>
        <v>1</v>
      </c>
      <c r="P32" s="68">
        <f t="shared" si="8"/>
        <v>95346.087901746505</v>
      </c>
      <c r="Q32" s="69">
        <f t="shared" si="0"/>
        <v>1</v>
      </c>
      <c r="R32" s="70">
        <f t="shared" si="1"/>
        <v>33.511351287617266</v>
      </c>
      <c r="S32" s="77">
        <f t="shared" si="2"/>
        <v>4441.2949813498917</v>
      </c>
      <c r="T32" s="64">
        <f t="shared" si="9"/>
        <v>667.9805912505667</v>
      </c>
      <c r="W32" s="58"/>
    </row>
    <row r="33" spans="8:23">
      <c r="H33" s="14">
        <f t="shared" si="3"/>
        <v>2047</v>
      </c>
      <c r="I33" s="79">
        <f t="shared" si="10"/>
        <v>15663.651129166681</v>
      </c>
      <c r="J33" s="50">
        <f t="shared" si="4"/>
        <v>572784.35225881764</v>
      </c>
      <c r="K33" s="50">
        <f>IF(H33=Year_Open_to_Traffic?,Calculations!$E$4,K32+(K32*M33))</f>
        <v>475198.87002213026</v>
      </c>
      <c r="L33" s="50">
        <f>IF(AND(H33&gt;=Year_Open_to_Traffic?, Calculations!H33&lt;Year_Open_to_Traffic?+'Inputs &amp; Outputs'!B$21), 1, 0)</f>
        <v>1</v>
      </c>
      <c r="M33" s="65">
        <f t="shared" si="11"/>
        <v>2.348700805898396E-2</v>
      </c>
      <c r="N33" s="71">
        <f t="shared" si="12"/>
        <v>0.76370800239720527</v>
      </c>
      <c r="O33" s="72">
        <f t="shared" si="7"/>
        <v>1</v>
      </c>
      <c r="P33" s="68">
        <f t="shared" si="8"/>
        <v>97585.482236687385</v>
      </c>
      <c r="Q33" s="69">
        <f t="shared" si="0"/>
        <v>1</v>
      </c>
      <c r="R33" s="70">
        <f t="shared" si="1"/>
        <v>34.282112367232457</v>
      </c>
      <c r="S33" s="77">
        <f t="shared" si="2"/>
        <v>4650.1566897536704</v>
      </c>
      <c r="T33" s="64">
        <f t="shared" si="9"/>
        <v>653.63911615557481</v>
      </c>
      <c r="W33" s="58"/>
    </row>
    <row r="34" spans="8:23">
      <c r="H34" s="14">
        <f t="shared" si="3"/>
        <v>2048</v>
      </c>
      <c r="I34" s="79">
        <f t="shared" si="10"/>
        <v>16031.543429470532</v>
      </c>
      <c r="J34" s="50">
        <f t="shared" si="4"/>
        <v>586237.34295638045</v>
      </c>
      <c r="K34" s="50">
        <f>IF(H34=Year_Open_to_Traffic?,Calculations!$E$4,K33+(K33*M34))</f>
        <v>486359.86971196008</v>
      </c>
      <c r="L34" s="50">
        <f>IF(AND(H34&gt;=Year_Open_to_Traffic?, Calculations!H34&lt;Year_Open_to_Traffic?+'Inputs &amp; Outputs'!B$21), 1, 0)</f>
        <v>1</v>
      </c>
      <c r="M34" s="65">
        <f t="shared" si="11"/>
        <v>2.348700805898396E-2</v>
      </c>
      <c r="N34" s="71">
        <f t="shared" si="12"/>
        <v>0.78164521840421897</v>
      </c>
      <c r="O34" s="72">
        <f t="shared" si="7"/>
        <v>1</v>
      </c>
      <c r="P34" s="68">
        <f t="shared" si="8"/>
        <v>99877.473244420369</v>
      </c>
      <c r="Q34" s="69">
        <f t="shared" si="0"/>
        <v>1</v>
      </c>
      <c r="R34" s="70">
        <f t="shared" si="1"/>
        <v>35.070600951678806</v>
      </c>
      <c r="S34" s="77">
        <f t="shared" si="2"/>
        <v>4868.8405814216903</v>
      </c>
      <c r="T34" s="64">
        <f t="shared" si="9"/>
        <v>639.60555106664435</v>
      </c>
      <c r="W34" s="58"/>
    </row>
    <row r="35" spans="8:23">
      <c r="H35" s="14">
        <f t="shared" si="3"/>
        <v>2049</v>
      </c>
      <c r="I35" s="79">
        <f t="shared" si="10"/>
        <v>16408.076419196459</v>
      </c>
      <c r="J35" s="50">
        <f t="shared" si="4"/>
        <v>600006.30415487429</v>
      </c>
      <c r="K35" s="50">
        <f>IF(H35=Year_Open_to_Traffic?,Calculations!$E$4,K34+(K34*M35))</f>
        <v>497783.0078914513</v>
      </c>
      <c r="L35" s="50">
        <f>IF(AND(H35&gt;=Year_Open_to_Traffic?, Calculations!H35&lt;Year_Open_to_Traffic?+'Inputs &amp; Outputs'!B$21), 1, 0)</f>
        <v>1</v>
      </c>
      <c r="M35" s="65">
        <f t="shared" si="11"/>
        <v>2.348700805898396E-2</v>
      </c>
      <c r="N35" s="71">
        <f t="shared" si="12"/>
        <v>0.80000372594814517</v>
      </c>
      <c r="O35" s="72">
        <f t="shared" si="7"/>
        <v>1</v>
      </c>
      <c r="P35" s="68">
        <f t="shared" si="8"/>
        <v>102223.29626342299</v>
      </c>
      <c r="Q35" s="69">
        <f t="shared" si="0"/>
        <v>1</v>
      </c>
      <c r="R35" s="70">
        <f t="shared" si="1"/>
        <v>35.877224773567399</v>
      </c>
      <c r="S35" s="77">
        <f t="shared" si="2"/>
        <v>5097.8085662215399</v>
      </c>
      <c r="T35" s="64">
        <f t="shared" si="9"/>
        <v>625.87328518737979</v>
      </c>
      <c r="W35" s="58"/>
    </row>
    <row r="36" spans="8:23">
      <c r="H36" s="14">
        <f t="shared" si="3"/>
        <v>2050</v>
      </c>
      <c r="I36" s="79">
        <f t="shared" si="10"/>
        <v>16793.45304228655</v>
      </c>
      <c r="J36" s="50">
        <f t="shared" si="4"/>
        <v>614098.65705600102</v>
      </c>
      <c r="K36" s="50">
        <f>IF(H36=Year_Open_to_Traffic?,Calculations!$E$4,K35+(K35*M36))</f>
        <v>509474.44140942307</v>
      </c>
      <c r="L36" s="50">
        <f>IF(AND(H36&gt;=Year_Open_to_Traffic?, Calculations!H36&lt;Year_Open_to_Traffic?+'Inputs &amp; Outputs'!B$21), 1, 0)</f>
        <v>1</v>
      </c>
      <c r="M36" s="65">
        <f t="shared" si="11"/>
        <v>2.348700805898396E-2</v>
      </c>
      <c r="N36" s="71">
        <f t="shared" si="12"/>
        <v>0.8187934199067064</v>
      </c>
      <c r="O36" s="72">
        <f t="shared" si="7"/>
        <v>1</v>
      </c>
      <c r="P36" s="68">
        <f t="shared" si="8"/>
        <v>104624.21564657794</v>
      </c>
      <c r="Q36" s="69">
        <f t="shared" si="0"/>
        <v>1</v>
      </c>
      <c r="R36" s="70">
        <f t="shared" si="1"/>
        <v>36.702400943359457</v>
      </c>
      <c r="S36" s="77">
        <f t="shared" si="2"/>
        <v>5337.5442763528354</v>
      </c>
      <c r="T36" s="64">
        <f t="shared" si="9"/>
        <v>612.43584965451407</v>
      </c>
      <c r="W36" s="58"/>
    </row>
    <row r="37" spans="8:23">
      <c r="H37" s="44"/>
      <c r="I37" s="44"/>
      <c r="J37" s="44"/>
      <c r="K37" s="44"/>
      <c r="L37" s="44"/>
      <c r="M37" s="60"/>
      <c r="N37" s="61"/>
      <c r="O37" s="44"/>
      <c r="P37" s="44"/>
      <c r="Q37" s="44"/>
      <c r="R37" s="44"/>
      <c r="S37" s="59"/>
      <c r="T37" s="64">
        <f>SUM(T4:T36)</f>
        <v>20110.19477726132</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167</v>
      </c>
    </row>
    <row r="11" spans="2:14">
      <c r="B11" s="73" t="s">
        <v>73</v>
      </c>
      <c r="C11" s="81">
        <v>0.4</v>
      </c>
      <c r="D11" s="74">
        <v>0.2</v>
      </c>
      <c r="E11" s="74">
        <v>0.12</v>
      </c>
      <c r="F11" s="74">
        <v>0.4</v>
      </c>
      <c r="G11" s="91">
        <v>0.3</v>
      </c>
      <c r="H11" s="93"/>
      <c r="L11" s="44" t="s">
        <v>52</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4E9BF-8BD9-412A-848C-30A38E39E530}"/>
</file>

<file path=customXml/itemProps2.xml><?xml version="1.0" encoding="utf-8"?>
<ds:datastoreItem xmlns:ds="http://schemas.openxmlformats.org/officeDocument/2006/customXml" ds:itemID="{F97886D9-C26E-4865-AA8D-2A51975BDB68}"/>
</file>

<file path=customXml/itemProps3.xml><?xml version="1.0" encoding="utf-8"?>
<ds:datastoreItem xmlns:ds="http://schemas.openxmlformats.org/officeDocument/2006/customXml" ds:itemID="{D2596D73-5C35-46E0-91A0-AB637496545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2018-10-31T16:49:54Z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