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Waugh-Heights (N-2016T-0003)\"/>
    </mc:Choice>
  </mc:AlternateContent>
  <xr:revisionPtr revIDLastSave="0" documentId="10_ncr:100000_{8925D32D-6906-4B8A-9692-541A7A1E7A74}" xr6:coauthVersionLast="31" xr6:coauthVersionMax="31" xr10:uidLastSave="{00000000-0000-0000-0000-000000000000}"/>
  <bookViews>
    <workbookView xWindow="0" yWindow="0" windowWidth="15075" windowHeight="588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Outputs'!$A$2:$I$47</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<sst xmlns="http://schemas.openxmlformats.org/spreadsheetml/2006/main" count="291" uniqueCount="237">
  <si>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</si>
  <si>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</si>
  <si>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</si>
  <si>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</si>
  <si>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</si>
  <si>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</si>
  <si>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</si>
  <si>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</si>
  <si>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</si>
  <si>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</si>
  <si>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</si>
  <si>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</si>
  <si>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</si>
  <si>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</si>
  <si>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</si>
  <si>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</si>
  <si>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</si>
  <si>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</si>
  <si>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</si>
  <si>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</si>
  <si>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</si>
  <si>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</si>
  <si>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</si>
  <si>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</si>
  <si>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</si>
  <si>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</si>
  <si>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</si>
  <si>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</si>
  <si>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</si>
  <si>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</si>
  <si>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</si>
  <si>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</si>
  <si>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</si>
  <si>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</si>
  <si>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</si>
  <si>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</si>
  <si>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</si>
  <si>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</si>
  <si>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</si>
  <si>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</si>
  <si>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</si>
  <si>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</si>
  <si>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</si>
  <si>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</si>
  <si>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</si>
  <si>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</si>
  <si>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</si>
  <si>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</si>
  <si>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</si>
  <si>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</si>
  <si>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</si>
  <si>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</si>
  <si>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</si>
  <si>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</si>
  <si>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</si>
  <si>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</si>
  <si>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</si>
  <si>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</si>
  <si>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</si>
  <si>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</si>
  <si>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</si>
  <si>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</si>
  <si>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</si>
  <si>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</si>
  <si>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</si>
  <si>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</si>
  <si>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</si>
  <si>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</si>
  <si>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</si>
  <si>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</si>
  <si>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</si>
  <si>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</si>
  <si>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</si>
  <si>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</si>
  <si>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</si>
  <si>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</si>
  <si>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</si>
  <si>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</si>
  <si>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</si>
  <si>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</si>
  <si>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</si>
  <si>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</si>
  <si>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</si>
  <si>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</si>
  <si>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</si>
  <si>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</si>
  <si>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</si>
  <si>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</si>
  <si>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</si>
  <si>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</si>
  <si>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</si>
  <si>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</si>
  <si>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</si>
  <si>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</si>
  <si>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</si>
  <si>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</si>
  <si>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</si>
  <si>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</si>
  <si>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</si>
  <si>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</si>
  <si>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</si>
  <si>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</si>
  <si>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</si>
  <si>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</si>
  <si>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</si>
  <si>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</si>
  <si>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</si>
  <si>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</si>
  <si>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</si>
  <si>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</si>
  <si>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</si>
  <si>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</si>
  <si>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</si>
  <si>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</si>
  <si>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</si>
  <si>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</si>
  <si>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</si>
  <si>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</si>
  <si>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</si>
  <si>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</si>
  <si>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</si>
  <si>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</si>
  <si>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</si>
  <si>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</si>
  <si>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</si>
  <si>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</si>
  <si>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</si>
  <si>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</si>
  <si>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</si>
  <si>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</si>
  <si>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</si>
  <si>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</si>
  <si>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</si>
  <si>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</si>
  <si>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</si>
  <si>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</si>
  <si>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</si>
  <si>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</si>
  <si>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</si>
  <si>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</si>
  <si>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</si>
  <si>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</si>
  <si>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</si>
  <si>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</si>
  <si>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</si>
  <si>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</si>
  <si>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</si>
  <si>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</si>
  <si>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</si>
  <si>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</si>
  <si>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</si>
  <si>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</si>
  <si>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</si>
  <si>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</si>
  <si>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</si>
  <si>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</si>
  <si>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</si>
  <si>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</si>
  <si>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</si>
  <si>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</si>
  <si>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</si>
  <si>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</si>
  <si>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</si>
  <si>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</si>
  <si>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</si>
  <si>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</si>
  <si>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</si>
  <si>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</si>
  <si>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</si>
  <si>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</si>
  <si>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</si>
  <si>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</si>
  <si>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</si>
  <si>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</si>
  <si>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</si>
  <si>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</si>
  <si>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</si>
  <si>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</si>
  <si>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</si>
  <si>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</si>
  <si>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</si>
  <si>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</si>
  <si>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</si>
  <si>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</si>
  <si>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</si>
  <si>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</si>
  <si>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</si>
  <si>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</si>
  <si>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</si>
  <si>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</si>
  <si>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</si>
  <si>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</si>
  <si>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</si>
  <si>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</si>
  <si>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</si>
  <si>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</si>
  <si>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</si>
  <si>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</si>
  <si>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</si>
  <si>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</si>
  <si>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</si>
  <si>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</si>
  <si>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</si>
  <si>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</si>
  <si>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</si>
  <si>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</si>
  <si>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</si>
  <si>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</si>
  <si>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</si>
  <si>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</si>
  <si>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</si>
  <si>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</si>
  <si>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</si>
  <si>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</si>
  <si>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</si>
  <si>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</si>
  <si>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</si>
  <si>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</si>
  <si>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</si>
  <si>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</si>
  <si>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</si>
  <si>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</si>
  <si>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</si>
  <si>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</si>
  <si>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</si>
  <si>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</si>
  <si>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</si>
  <si>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</si>
  <si>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</si>
  <si>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</si>
  <si>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</si>
  <si>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</si>
  <si>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</si>
  <si>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Waugh/Heights</t>
  </si>
  <si>
    <t>Waugh Rd</t>
  </si>
  <si>
    <t>Washington Ave</t>
  </si>
  <si>
    <t>Nevada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</si>
</sst>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8" zoomScale="99" zoomScaleNormal="99" workbookViewId="0">
      <selection activeCell="E33" sqref="E3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2.7</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9.6428571428571433E-2</v>
      </c>
    </row>
    <row r="19" spans="1:7" ht="30" x14ac:dyDescent="0.25">
      <c r="A19" s="8" t="s">
        <v>121</v>
      </c>
      <c r="B19" s="140" t="s">
        <v>128</v>
      </c>
      <c r="E19" s="107" t="s">
        <v>212</v>
      </c>
      <c r="F19" s="146">
        <f>$B$12/$B$33</f>
        <v>0.22500000000000001</v>
      </c>
    </row>
    <row r="20" spans="1:7" ht="30" x14ac:dyDescent="0.25">
      <c r="A20" s="135" t="s">
        <v>208</v>
      </c>
      <c r="B20" s="136">
        <f>VLOOKUP(B19,'Delay Reduction Factors'!B4:C80,2, FALSE)</f>
        <v>0.4</v>
      </c>
      <c r="E20" s="107" t="s">
        <v>209</v>
      </c>
      <c r="F20" s="145">
        <f>$F$19-$F$18</f>
        <v>0.12857142857142856</v>
      </c>
    </row>
    <row r="21" spans="1:7" x14ac:dyDescent="0.25">
      <c r="A21" s="8" t="s">
        <v>104</v>
      </c>
      <c r="B21" s="79">
        <v>40</v>
      </c>
      <c r="D21" s="121"/>
      <c r="E21" s="105" t="s">
        <v>210</v>
      </c>
      <c r="F21" s="145">
        <f>$F$20*$B$20</f>
        <v>5.1428571428571428E-2</v>
      </c>
      <c r="G21" s="122"/>
    </row>
    <row r="22" spans="1:7" s="113" customFormat="1" x14ac:dyDescent="0.25">
      <c r="D22" s="121"/>
      <c r="E22" s="105" t="s">
        <v>211</v>
      </c>
      <c r="F22" s="145">
        <f>$F$20-$F$21</f>
        <v>7.7142857142857124E-2</v>
      </c>
      <c r="G22" s="122"/>
    </row>
    <row r="23" spans="1:7" x14ac:dyDescent="0.25">
      <c r="E23" s="105" t="s">
        <v>213</v>
      </c>
      <c r="F23" s="145">
        <f>$F$18+$F$22</f>
        <v>0.17357142857142854</v>
      </c>
    </row>
    <row r="24" spans="1:7" x14ac:dyDescent="0.25">
      <c r="A24" s="119" t="s">
        <v>94</v>
      </c>
      <c r="B24" s="123"/>
      <c r="D24" s="121"/>
      <c r="G24" s="124"/>
    </row>
    <row r="25" spans="1:7" x14ac:dyDescent="0.25">
      <c r="A25" s="8" t="s">
        <v>218</v>
      </c>
      <c r="B25" s="141">
        <v>32356</v>
      </c>
      <c r="D25" s="121"/>
      <c r="G25" s="124"/>
    </row>
    <row r="28" spans="1:7" x14ac:dyDescent="0.25">
      <c r="A28" s="105" t="s">
        <v>227</v>
      </c>
      <c r="B28" s="134">
        <f>IF(FacilityType='Delay Reduction Factors'!N5,'Inputs &amp; Outputs'!B25*45%, B25*43%)</f>
        <v>13913.08</v>
      </c>
      <c r="D28" s="121"/>
      <c r="E28" s="125" t="s">
        <v>95</v>
      </c>
      <c r="F28" s="126" t="s">
        <v>20</v>
      </c>
      <c r="G28" s="127" t="s">
        <v>19</v>
      </c>
    </row>
    <row r="29" spans="1:7" x14ac:dyDescent="0.25">
      <c r="A29" s="105" t="s">
        <v>228</v>
      </c>
      <c r="B29" s="115">
        <f>VLOOKUP(Year_Open_to_Traffic?,Calculations!H4:I36,2)</f>
        <v>19345</v>
      </c>
      <c r="D29" s="121"/>
      <c r="E29" s="107" t="s">
        <v>122</v>
      </c>
      <c r="F29" s="101">
        <f>$B$29*$F$23</f>
        <v>3357.739285714285</v>
      </c>
      <c r="G29" s="102">
        <f>$B$29*$F$19</f>
        <v>4352.625</v>
      </c>
    </row>
    <row r="30" spans="1:7" x14ac:dyDescent="0.25">
      <c r="A30" s="124"/>
      <c r="B30" s="100"/>
      <c r="D30" s="121"/>
    </row>
    <row r="32" spans="1:7" x14ac:dyDescent="0.25">
      <c r="A32" s="128" t="s">
        <v>221</v>
      </c>
      <c r="B32" s="142">
        <v>28</v>
      </c>
      <c r="D32" s="121"/>
    </row>
    <row r="33" spans="1:7" ht="30" x14ac:dyDescent="0.25">
      <c r="A33" s="129" t="s">
        <v>222</v>
      </c>
      <c r="B33" s="143">
        <v>12</v>
      </c>
      <c r="D33" s="121"/>
      <c r="E33" s="121"/>
      <c r="F33" s="130"/>
      <c r="G33" s="117"/>
    </row>
    <row r="34" spans="1:7" x14ac:dyDescent="0.25">
      <c r="A34" s="131"/>
      <c r="B34" s="144"/>
      <c r="E34" s="117"/>
      <c r="F34" s="130"/>
      <c r="G34" s="130"/>
    </row>
    <row r="35" spans="1:7" x14ac:dyDescent="0.25">
      <c r="A35" s="105" t="s">
        <v>223</v>
      </c>
      <c r="B35" s="148">
        <f>$B$28</f>
        <v>13913.08</v>
      </c>
    </row>
    <row r="36" spans="1:7" x14ac:dyDescent="0.25">
      <c r="A36" s="128" t="s">
        <v>224</v>
      </c>
      <c r="B36" s="142">
        <v>28897</v>
      </c>
    </row>
    <row r="37" spans="1:7" x14ac:dyDescent="0.25">
      <c r="A37" s="128" t="s">
        <v>229</v>
      </c>
      <c r="B37" s="142">
        <v>19345</v>
      </c>
    </row>
    <row r="38" spans="1:7" x14ac:dyDescent="0.25">
      <c r="A38" s="128" t="s">
        <v>225</v>
      </c>
      <c r="B38" s="142">
        <v>28897</v>
      </c>
    </row>
    <row r="39" spans="1:7" x14ac:dyDescent="0.25">
      <c r="A39" s="128" t="s">
        <v>230</v>
      </c>
      <c r="B39" s="142">
        <v>21502</v>
      </c>
    </row>
    <row r="40" spans="1:7" x14ac:dyDescent="0.25">
      <c r="A40" s="128" t="s">
        <v>226</v>
      </c>
      <c r="B40" s="142">
        <v>28897</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77039.509019185294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6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Calculations!$H$4:$H$31</xm:f>
          </x14:formula1>
          <xm:sqref>B18</xm:sqref>
        </x14:dataValidation>
        <x14:dataValidation type="list" allowBlank="1" showInputMessage="1" showErrorMessage="1" xr:uid="{00000000-0002-0000-0300-000001000000}">
          <x14:formula1>
            <xm:f>'Delay Reduction Factors'!$B$5:$B$80</xm:f>
          </x14:formula1>
          <xm:sqref>B19</xm:sqref>
        </x14:dataValidation>
        <x14:dataValidation type="list" allowBlank="1" showInputMessage="1" showErrorMessage="1" xr:uid="{00000000-0002-0000-0300-000002000000}">
          <x14:formula1>
            <xm:f>'Delay Reduction Factors'!$N$5:$N$6</xm:f>
          </x14:formula1>
          <xm:sqref>B8</xm:sqref>
        </x14:dataValidation>
        <x14:dataValidation type="list" allowBlank="1" showInputMessage="1" showErrorMessage="1" xr:uid="{00000000-0002-0000-0300-000003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873012.21428571409</v>
      </c>
      <c r="F4" s="22">
        <f>'Inputs &amp; Outputs'!G29*Annual_Days_of_Travel</f>
        <v>1131682.5</v>
      </c>
      <c r="H4" s="59">
        <v>2018</v>
      </c>
      <c r="I4" s="60">
        <f>'Inputs &amp; Outputs'!B28</f>
        <v>13913.08</v>
      </c>
      <c r="J4" s="60">
        <f>IF(H4=Year_Open_to_Traffic?,$F$4,0)</f>
        <v>0</v>
      </c>
      <c r="K4" s="60">
        <f>IF(H4=Year_Open_to_Traffic?,Calculations!$E$4,0)</f>
        <v>0</v>
      </c>
      <c r="L4" s="60">
        <f>IF(AND(H4&gt;=Year_Open_to_Traffic?, Calculations!H4&lt;Year_Open_to_Traffic?+'Inputs &amp; Outputs'!B$21), 1, 0)</f>
        <v>0</v>
      </c>
      <c r="M4" s="81" t="s">
        <v>75</v>
      </c>
      <c r="N4" s="82">
        <f>MIN(E8,1)</f>
        <v>0.48147143302072881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4.8212538282478512E-2</v>
      </c>
      <c r="F5" s="28"/>
      <c r="H5" s="15">
        <f t="shared" ref="H5:H36" si="3">H4+1</f>
        <v>2019</v>
      </c>
      <c r="I5" s="97">
        <f>(I4*M5)+I4</f>
        <v>14583.864902127187</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4.8212538282478512E-2</v>
      </c>
      <c r="N5" s="87">
        <f t="shared" ref="N5:N11" si="6">N4*(1+IFERROR(_2018_2025_V_C_Growth,_2018_2045_V_C_Growth))</f>
        <v>0.5046843929171605</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5.2995917138649595E-3</v>
      </c>
      <c r="F6" s="28"/>
      <c r="H6" s="59">
        <f t="shared" si="3"/>
        <v>2020</v>
      </c>
      <c r="I6" s="97">
        <f t="shared" ref="I6:I36" si="10">(I5*M6)+I5</f>
        <v>15286.990047027488</v>
      </c>
      <c r="J6" s="60">
        <f t="shared" si="4"/>
        <v>0</v>
      </c>
      <c r="K6" s="60">
        <f>IF(H6=Year_Open_to_Traffic?,Calculations!$E$4,K5+(K5*M6))</f>
        <v>0</v>
      </c>
      <c r="L6" s="60">
        <f>IF(AND(H6&gt;=Year_Open_to_Traffic?, Calculations!H6&lt;Year_Open_to_Traffic?+'Inputs &amp; Outputs'!B$21), 1, 0)</f>
        <v>0</v>
      </c>
      <c r="M6" s="81">
        <f t="shared" si="5"/>
        <v>4.8212538282478512E-2</v>
      </c>
      <c r="N6" s="87">
        <f t="shared" si="6"/>
        <v>0.52901650853124849</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1.625350939753134E-2</v>
      </c>
      <c r="F7" s="28"/>
      <c r="H7" s="15">
        <f t="shared" si="3"/>
        <v>2021</v>
      </c>
      <c r="I7" s="97">
        <f t="shared" si="10"/>
        <v>16024.014639893669</v>
      </c>
      <c r="J7" s="60">
        <f t="shared" si="4"/>
        <v>0</v>
      </c>
      <c r="K7" s="60">
        <f>IF(H7=Year_Open_to_Traffic?,Calculations!$E$4,K6+(K6*M7))</f>
        <v>0</v>
      </c>
      <c r="L7" s="60">
        <f>IF(AND(H7&gt;=Year_Open_to_Traffic?, Calculations!H7&lt;Year_Open_to_Traffic?+'Inputs &amp; Outputs'!B$21), 1, 0)</f>
        <v>0</v>
      </c>
      <c r="M7" s="81">
        <f t="shared" si="5"/>
        <v>4.8212538282478512E-2</v>
      </c>
      <c r="N7" s="87">
        <f t="shared" si="6"/>
        <v>0.55452173720087439</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0.48147143302072881</v>
      </c>
      <c r="F8" s="28"/>
      <c r="H8" s="59">
        <f t="shared" si="3"/>
        <v>2022</v>
      </c>
      <c r="I8" s="97">
        <f t="shared" si="10"/>
        <v>16796.573059158538</v>
      </c>
      <c r="J8" s="60">
        <f t="shared" si="4"/>
        <v>0</v>
      </c>
      <c r="K8" s="60">
        <f>IF(H8=Year_Open_to_Traffic?,Calculations!$E$4,K7+(K7*M8))</f>
        <v>0</v>
      </c>
      <c r="L8" s="60">
        <f>IF(AND(H8&gt;=Year_Open_to_Traffic?, Calculations!H8&lt;Year_Open_to_Traffic?+'Inputs &amp; Outputs'!B$21), 1, 0)</f>
        <v>0</v>
      </c>
      <c r="M8" s="81">
        <f t="shared" si="5"/>
        <v>4.8212538282478512E-2</v>
      </c>
      <c r="N8" s="87">
        <f t="shared" si="6"/>
        <v>0.58125663768413804</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40</v>
      </c>
      <c r="D9" s="18" t="s">
        <v>65</v>
      </c>
      <c r="E9" s="23">
        <f>_2025_PeakVolume/_2025_Capacity</f>
        <v>0.66944665536214831</v>
      </c>
      <c r="F9" s="28"/>
      <c r="H9" s="15">
        <f t="shared" si="3"/>
        <v>2023</v>
      </c>
      <c r="I9" s="97">
        <f t="shared" si="10"/>
        <v>17606.378480787665</v>
      </c>
      <c r="J9" s="60">
        <f t="shared" si="4"/>
        <v>0</v>
      </c>
      <c r="K9" s="60">
        <f>IF(H9=Year_Open_to_Traffic?,Calculations!$E$4,K8+(K8*M9))</f>
        <v>0</v>
      </c>
      <c r="L9" s="60">
        <f>IF(AND(H9&gt;=Year_Open_to_Traffic?, Calculations!H9&lt;Year_Open_to_Traffic?+'Inputs &amp; Outputs'!B$21), 1, 0)</f>
        <v>0</v>
      </c>
      <c r="M9" s="81">
        <f t="shared" si="5"/>
        <v>4.8212538282478512E-2</v>
      </c>
      <c r="N9" s="87">
        <f t="shared" si="6"/>
        <v>0.60928049558042929</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0.74409108211925112</v>
      </c>
      <c r="F10" s="28"/>
      <c r="H10" s="59">
        <f t="shared" si="3"/>
        <v>2024</v>
      </c>
      <c r="I10" s="97">
        <f t="shared" si="10"/>
        <v>18455.226677308448</v>
      </c>
      <c r="J10" s="60">
        <f t="shared" si="4"/>
        <v>0</v>
      </c>
      <c r="K10" s="60">
        <f>IF(H10=Year_Open_to_Traffic?,Calculations!$E$4,K9+(K9*M10))</f>
        <v>0</v>
      </c>
      <c r="L10" s="60">
        <f>IF(AND(H10&gt;=Year_Open_to_Traffic?, Calculations!H10&lt;Year_Open_to_Traffic?+'Inputs &amp; Outputs'!B$21), 1, 0)</f>
        <v>0</v>
      </c>
      <c r="M10" s="81">
        <f t="shared" si="5"/>
        <v>4.8212538282478512E-2</v>
      </c>
      <c r="N10" s="87">
        <f t="shared" si="6"/>
        <v>0.63865545479836827</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4.8212538282478512E-2</v>
      </c>
      <c r="F11" s="28"/>
      <c r="H11" s="15">
        <f t="shared" si="3"/>
        <v>2025</v>
      </c>
      <c r="I11" s="97">
        <f t="shared" si="10"/>
        <v>19345</v>
      </c>
      <c r="J11" s="60">
        <f t="shared" si="4"/>
        <v>1131682.5</v>
      </c>
      <c r="K11" s="60">
        <f>IF(H11=Year_Open_to_Traffic?,Calculations!$E$4,K10+(K10*M11))</f>
        <v>873012.21428571409</v>
      </c>
      <c r="L11" s="60">
        <f>IF(AND(H11&gt;=Year_Open_to_Traffic?, Calculations!H11&lt;Year_Open_to_Traffic?+'Inputs &amp; Outputs'!B$21), 1, 0)</f>
        <v>1</v>
      </c>
      <c r="M11" s="81">
        <f t="shared" si="5"/>
        <v>4.8212538282478512E-2</v>
      </c>
      <c r="N11" s="87">
        <f t="shared" si="6"/>
        <v>0.66944665536214831</v>
      </c>
      <c r="O11" s="88">
        <f t="shared" si="7"/>
        <v>1</v>
      </c>
      <c r="P11" s="84">
        <f t="shared" si="8"/>
        <v>258670.28571428591</v>
      </c>
      <c r="Q11" s="85">
        <f t="shared" si="0"/>
        <v>1</v>
      </c>
      <c r="R11" s="86">
        <f t="shared" si="1"/>
        <v>20.787565583925574</v>
      </c>
      <c r="S11" s="94">
        <f t="shared" si="2"/>
        <v>7474.2044851688934</v>
      </c>
      <c r="T11" s="80">
        <f t="shared" si="9"/>
        <v>4654.5589139315816</v>
      </c>
      <c r="W11" s="73"/>
    </row>
    <row r="12" spans="1:24" x14ac:dyDescent="0.25">
      <c r="A12" s="18" t="s">
        <v>205</v>
      </c>
      <c r="B12" s="19">
        <v>0.45</v>
      </c>
      <c r="D12" s="18" t="s">
        <v>83</v>
      </c>
      <c r="E12" s="46">
        <f>(E10/E9)^(1/(2045-2025))-1</f>
        <v>5.2995917138649595E-3</v>
      </c>
      <c r="F12" s="28"/>
      <c r="H12" s="59">
        <v>2026</v>
      </c>
      <c r="I12" s="97">
        <f t="shared" si="10"/>
        <v>19447.520601704717</v>
      </c>
      <c r="J12" s="60">
        <f t="shared" si="4"/>
        <v>1137679.9551997259</v>
      </c>
      <c r="K12" s="60">
        <f>IF(H12=Year_Open_to_Traffic?,Calculations!$E$4,K11+(K11*M12))</f>
        <v>877638.82258264557</v>
      </c>
      <c r="L12" s="60">
        <f>IF(AND(H12&gt;=Year_Open_to_Traffic?, Calculations!H12&lt;Year_Open_to_Traffic?+'Inputs &amp; Outputs'!B$21), 1, 0)</f>
        <v>1</v>
      </c>
      <c r="M12" s="81">
        <f t="shared" ref="M12:M36" si="11">IFERROR(_2025_2045_Demand_Growth,_2018_2045_Demand_Growth)</f>
        <v>5.2995917138649595E-3</v>
      </c>
      <c r="N12" s="87">
        <f t="shared" ref="N12:N36" si="12">N11*(1+IFERROR(_2025_2045_V_C_Growth,_2018_2045_V_C_Growth))</f>
        <v>0.67299444930978014</v>
      </c>
      <c r="O12" s="88">
        <f t="shared" si="7"/>
        <v>1</v>
      </c>
      <c r="P12" s="84">
        <f t="shared" si="8"/>
        <v>260041.13261708035</v>
      </c>
      <c r="Q12" s="85">
        <f t="shared" si="0"/>
        <v>1</v>
      </c>
      <c r="R12" s="86">
        <f t="shared" si="1"/>
        <v>21.265679592355859</v>
      </c>
      <c r="S12" s="94">
        <f t="shared" si="2"/>
        <v>7686.6324558247261</v>
      </c>
      <c r="T12" s="80">
        <f t="shared" si="9"/>
        <v>4473.6900727351112</v>
      </c>
      <c r="W12" s="73"/>
    </row>
    <row r="13" spans="1:24" x14ac:dyDescent="0.25">
      <c r="A13" s="18" t="s">
        <v>206</v>
      </c>
      <c r="B13" s="19">
        <v>0.43</v>
      </c>
      <c r="D13" s="18" t="s">
        <v>84</v>
      </c>
      <c r="E13" s="46">
        <f>(E10/E8)^(1/(2045-2018))-1</f>
        <v>1.625350939753134E-2</v>
      </c>
      <c r="F13" s="28"/>
      <c r="H13" s="15">
        <f t="shared" si="3"/>
        <v>2027</v>
      </c>
      <c r="I13" s="97">
        <f t="shared" si="10"/>
        <v>19550.584520740729</v>
      </c>
      <c r="J13" s="60">
        <f t="shared" si="4"/>
        <v>1143709.1944633326</v>
      </c>
      <c r="K13" s="60">
        <f>IF(H13=Year_Open_to_Traffic?,Calculations!$E$4,K12+(K12*M13))</f>
        <v>882289.95001457073</v>
      </c>
      <c r="L13" s="60">
        <f>IF(AND(H13&gt;=Year_Open_to_Traffic?, Calculations!H13&lt;Year_Open_to_Traffic?+'Inputs &amp; Outputs'!B$21), 1, 0)</f>
        <v>1</v>
      </c>
      <c r="M13" s="81">
        <f t="shared" si="11"/>
        <v>5.2995917138649595E-3</v>
      </c>
      <c r="N13" s="87">
        <f t="shared" si="12"/>
        <v>0.67656104511681936</v>
      </c>
      <c r="O13" s="88">
        <f t="shared" si="7"/>
        <v>1</v>
      </c>
      <c r="P13" s="84">
        <f t="shared" si="8"/>
        <v>261419.24444876192</v>
      </c>
      <c r="Q13" s="85">
        <f t="shared" si="0"/>
        <v>1</v>
      </c>
      <c r="R13" s="86">
        <f t="shared" si="1"/>
        <v>21.754790222980041</v>
      </c>
      <c r="S13" s="94">
        <f t="shared" si="2"/>
        <v>7905.0979442935295</v>
      </c>
      <c r="T13" s="80">
        <f t="shared" si="9"/>
        <v>4299.8495103338346</v>
      </c>
      <c r="W13" s="73"/>
    </row>
    <row r="14" spans="1:24" x14ac:dyDescent="0.25">
      <c r="H14" s="59">
        <f>H13+1</f>
        <v>2028</v>
      </c>
      <c r="I14" s="97">
        <f t="shared" si="10"/>
        <v>19654.194636468063</v>
      </c>
      <c r="J14" s="60">
        <f t="shared" si="4"/>
        <v>1149770.3862333817</v>
      </c>
      <c r="K14" s="60">
        <f>IF(H14=Year_Open_to_Traffic?,Calculations!$E$4,K13+(K13*M14))</f>
        <v>886965.72652289423</v>
      </c>
      <c r="L14" s="60">
        <f>IF(AND(H14&gt;=Year_Open_to_Traffic?, Calculations!H14&lt;Year_Open_to_Traffic?+'Inputs &amp; Outputs'!B$21), 1, 0)</f>
        <v>1</v>
      </c>
      <c r="M14" s="81">
        <f t="shared" si="11"/>
        <v>5.2995917138649595E-3</v>
      </c>
      <c r="N14" s="87">
        <f t="shared" si="12"/>
        <v>0.68014654242544426</v>
      </c>
      <c r="O14" s="88">
        <f t="shared" si="7"/>
        <v>1</v>
      </c>
      <c r="P14" s="84">
        <f t="shared" si="8"/>
        <v>262804.65971048747</v>
      </c>
      <c r="Q14" s="85">
        <f t="shared" si="0"/>
        <v>1</v>
      </c>
      <c r="R14" s="86">
        <f t="shared" si="1"/>
        <v>22.255150398108579</v>
      </c>
      <c r="S14" s="94">
        <f t="shared" si="2"/>
        <v>8129.7725457810957</v>
      </c>
      <c r="T14" s="80">
        <f t="shared" si="9"/>
        <v>4132.7641188640828</v>
      </c>
      <c r="W14" s="73"/>
    </row>
    <row r="15" spans="1:24" x14ac:dyDescent="0.25">
      <c r="H15" s="15">
        <f t="shared" si="3"/>
        <v>2029</v>
      </c>
      <c r="I15" s="97">
        <f t="shared" si="10"/>
        <v>19758.353843506178</v>
      </c>
      <c r="J15" s="60">
        <f t="shared" si="4"/>
        <v>1155863.6998451115</v>
      </c>
      <c r="K15" s="60">
        <f>IF(H15=Year_Open_to_Traffic?,Calculations!$E$4,K14+(K14*M15))</f>
        <v>891666.28273765719</v>
      </c>
      <c r="L15" s="60">
        <f>IF(AND(H15&gt;=Year_Open_to_Traffic?, Calculations!H15&lt;Year_Open_to_Traffic?+'Inputs &amp; Outputs'!B$21), 1, 0)</f>
        <v>1</v>
      </c>
      <c r="M15" s="81">
        <f t="shared" si="11"/>
        <v>5.2995917138649595E-3</v>
      </c>
      <c r="N15" s="87">
        <f t="shared" si="12"/>
        <v>0.68375104140589604</v>
      </c>
      <c r="O15" s="88">
        <f t="shared" si="7"/>
        <v>1</v>
      </c>
      <c r="P15" s="84">
        <f t="shared" si="8"/>
        <v>264197.41710745427</v>
      </c>
      <c r="Q15" s="85">
        <f t="shared" si="0"/>
        <v>1</v>
      </c>
      <c r="R15" s="86">
        <f t="shared" si="1"/>
        <v>22.767018857265079</v>
      </c>
      <c r="S15" s="94">
        <f t="shared" si="2"/>
        <v>8360.8327324833317</v>
      </c>
      <c r="T15" s="80">
        <f t="shared" si="9"/>
        <v>3972.1714030043731</v>
      </c>
      <c r="W15" s="73"/>
    </row>
    <row r="16" spans="1:24" x14ac:dyDescent="0.25">
      <c r="H16" s="59">
        <f t="shared" si="3"/>
        <v>2030</v>
      </c>
      <c r="I16" s="97">
        <f t="shared" si="10"/>
        <v>19863.065051814836</v>
      </c>
      <c r="J16" s="60">
        <f t="shared" si="4"/>
        <v>1161989.3055311679</v>
      </c>
      <c r="K16" s="60">
        <f>IF(H16=Year_Open_to_Traffic?,Calculations!$E$4,K15+(K15*M16))</f>
        <v>896391.74998118647</v>
      </c>
      <c r="L16" s="60">
        <f>IF(AND(H16&gt;=Year_Open_to_Traffic?, Calculations!H16&lt;Year_Open_to_Traffic?+'Inputs &amp; Outputs'!B$21), 1, 0)</f>
        <v>1</v>
      </c>
      <c r="M16" s="81">
        <f t="shared" si="11"/>
        <v>5.2995917138649595E-3</v>
      </c>
      <c r="N16" s="87">
        <f t="shared" si="12"/>
        <v>0.68737464275927729</v>
      </c>
      <c r="O16" s="88">
        <f t="shared" si="7"/>
        <v>1</v>
      </c>
      <c r="P16" s="84">
        <f t="shared" si="8"/>
        <v>265597.55554998142</v>
      </c>
      <c r="Q16" s="85">
        <f t="shared" si="0"/>
        <v>1</v>
      </c>
      <c r="R16" s="86">
        <f t="shared" si="1"/>
        <v>23.290660290982171</v>
      </c>
      <c r="S16" s="94">
        <f t="shared" si="2"/>
        <v>8598.4599921975387</v>
      </c>
      <c r="T16" s="80">
        <f t="shared" si="9"/>
        <v>3817.8190675887067</v>
      </c>
      <c r="W16" s="73"/>
    </row>
    <row r="17" spans="1:23" x14ac:dyDescent="0.25">
      <c r="A17" s="29"/>
      <c r="H17" s="15">
        <f t="shared" si="3"/>
        <v>2031</v>
      </c>
      <c r="I17" s="97">
        <f t="shared" si="10"/>
        <v>19968.331186775395</v>
      </c>
      <c r="J17" s="60">
        <f t="shared" si="4"/>
        <v>1168147.3744263605</v>
      </c>
      <c r="K17" s="60">
        <f>IF(H17=Year_Open_to_Traffic?,Calculations!$E$4,K16+(K16*M17))</f>
        <v>901142.26027176366</v>
      </c>
      <c r="L17" s="60">
        <f>IF(AND(H17&gt;=Year_Open_to_Traffic?, Calculations!H17&lt;Year_Open_to_Traffic?+'Inputs &amp; Outputs'!B$21), 1, 0)</f>
        <v>1</v>
      </c>
      <c r="M17" s="81">
        <f t="shared" si="11"/>
        <v>5.2995917138649595E-3</v>
      </c>
      <c r="N17" s="87">
        <f t="shared" si="12"/>
        <v>0.69101744772036522</v>
      </c>
      <c r="O17" s="88">
        <f t="shared" si="7"/>
        <v>1</v>
      </c>
      <c r="P17" s="84">
        <f t="shared" si="8"/>
        <v>267005.11415459681</v>
      </c>
      <c r="Q17" s="85">
        <f t="shared" si="0"/>
        <v>1</v>
      </c>
      <c r="R17" s="86">
        <f t="shared" si="1"/>
        <v>23.82634547767476</v>
      </c>
      <c r="S17" s="94">
        <f t="shared" si="2"/>
        <v>8842.8409708732397</v>
      </c>
      <c r="T17" s="80">
        <f t="shared" si="9"/>
        <v>3669.4646212445537</v>
      </c>
      <c r="W17" s="73"/>
    </row>
    <row r="18" spans="1:23" x14ac:dyDescent="0.25">
      <c r="H18" s="59">
        <f t="shared" si="3"/>
        <v>2032</v>
      </c>
      <c r="I18" s="97">
        <f t="shared" si="10"/>
        <v>20074.15518927254</v>
      </c>
      <c r="J18" s="60">
        <f t="shared" si="4"/>
        <v>1174338.0785724435</v>
      </c>
      <c r="K18" s="60">
        <f>IF(H18=Year_Open_to_Traffic?,Calculations!$E$4,K17+(K17*M18))</f>
        <v>905917.94632731343</v>
      </c>
      <c r="L18" s="60">
        <f>IF(AND(H18&gt;=Year_Open_to_Traffic?, Calculations!H18&lt;Year_Open_to_Traffic?+'Inputs &amp; Outputs'!B$21), 1, 0)</f>
        <v>1</v>
      </c>
      <c r="M18" s="81">
        <f t="shared" si="11"/>
        <v>5.2995917138649595E-3</v>
      </c>
      <c r="N18" s="87">
        <f t="shared" si="12"/>
        <v>0.69467955806044013</v>
      </c>
      <c r="O18" s="88">
        <f t="shared" si="7"/>
        <v>1</v>
      </c>
      <c r="P18" s="84">
        <f t="shared" si="8"/>
        <v>268420.13224513002</v>
      </c>
      <c r="Q18" s="85">
        <f t="shared" si="0"/>
        <v>1</v>
      </c>
      <c r="R18" s="86">
        <f t="shared" si="1"/>
        <v>24.374351423661277</v>
      </c>
      <c r="S18" s="94">
        <f t="shared" si="2"/>
        <v>9094.1676192145223</v>
      </c>
      <c r="T18" s="80">
        <f t="shared" si="9"/>
        <v>3526.87499543287</v>
      </c>
      <c r="W18" s="73"/>
    </row>
    <row r="19" spans="1:23" x14ac:dyDescent="0.25">
      <c r="H19" s="15">
        <f t="shared" si="3"/>
        <v>2033</v>
      </c>
      <c r="I19" s="97">
        <f t="shared" si="10"/>
        <v>20180.540015776449</v>
      </c>
      <c r="J19" s="60">
        <f t="shared" si="4"/>
        <v>1180561.5909229221</v>
      </c>
      <c r="K19" s="60">
        <f>IF(H19=Year_Open_to_Traffic?,Calculations!$E$4,K18+(K18*M19))</f>
        <v>910718.94156911119</v>
      </c>
      <c r="L19" s="60">
        <f>IF(AND(H19&gt;=Year_Open_to_Traffic?, Calculations!H19&lt;Year_Open_to_Traffic?+'Inputs &amp; Outputs'!B$21), 1, 0)</f>
        <v>1</v>
      </c>
      <c r="M19" s="81">
        <f t="shared" si="11"/>
        <v>5.2995917138649595E-3</v>
      </c>
      <c r="N19" s="87">
        <f t="shared" si="12"/>
        <v>0.69836107609012865</v>
      </c>
      <c r="O19" s="88">
        <f t="shared" si="7"/>
        <v>1</v>
      </c>
      <c r="P19" s="84">
        <f t="shared" si="8"/>
        <v>269842.64935381094</v>
      </c>
      <c r="Q19" s="85">
        <f t="shared" si="0"/>
        <v>1</v>
      </c>
      <c r="R19" s="86">
        <f t="shared" si="1"/>
        <v>24.934961506405479</v>
      </c>
      <c r="S19" s="94">
        <f t="shared" si="2"/>
        <v>9352.6373434490069</v>
      </c>
      <c r="T19" s="80">
        <f t="shared" si="9"/>
        <v>3389.8261782915852</v>
      </c>
      <c r="W19" s="73"/>
    </row>
    <row r="20" spans="1:23" x14ac:dyDescent="0.25">
      <c r="H20" s="59">
        <f t="shared" si="3"/>
        <v>2034</v>
      </c>
      <c r="I20" s="97">
        <f t="shared" si="10"/>
        <v>20287.488638425377</v>
      </c>
      <c r="J20" s="60">
        <f t="shared" si="4"/>
        <v>1186818.0853478846</v>
      </c>
      <c r="K20" s="60">
        <f>IF(H20=Year_Open_to_Traffic?,Calculations!$E$4,K19+(K19*M20))</f>
        <v>915545.38012551074</v>
      </c>
      <c r="L20" s="60">
        <f>IF(AND(H20&gt;=Year_Open_to_Traffic?, Calculations!H20&lt;Year_Open_to_Traffic?+'Inputs &amp; Outputs'!B$21), 1, 0)</f>
        <v>1</v>
      </c>
      <c r="M20" s="81">
        <f t="shared" si="11"/>
        <v>5.2995917138649595E-3</v>
      </c>
      <c r="N20" s="87">
        <f t="shared" si="12"/>
        <v>0.70206210466226171</v>
      </c>
      <c r="O20" s="88">
        <f t="shared" si="7"/>
        <v>1</v>
      </c>
      <c r="P20" s="84">
        <f t="shared" si="8"/>
        <v>271272.70522237383</v>
      </c>
      <c r="Q20" s="85">
        <f t="shared" si="0"/>
        <v>1</v>
      </c>
      <c r="R20" s="86">
        <f t="shared" si="1"/>
        <v>25.508465621052807</v>
      </c>
      <c r="S20" s="94">
        <f t="shared" si="2"/>
        <v>9618.4531603819305</v>
      </c>
      <c r="T20" s="80">
        <f t="shared" si="9"/>
        <v>3258.1028627073888</v>
      </c>
      <c r="W20" s="73"/>
    </row>
    <row r="21" spans="1:23" x14ac:dyDescent="0.25">
      <c r="H21" s="15">
        <f t="shared" si="3"/>
        <v>2035</v>
      </c>
      <c r="I21" s="97">
        <f t="shared" si="10"/>
        <v>20395.004045108704</v>
      </c>
      <c r="J21" s="60">
        <f t="shared" si="4"/>
        <v>1193107.7366388594</v>
      </c>
      <c r="K21" s="60">
        <f>IF(H21=Year_Open_to_Traffic?,Calculations!$E$4,K20+(K20*M21))</f>
        <v>920397.3968356913</v>
      </c>
      <c r="L21" s="60">
        <f>IF(AND(H21&gt;=Year_Open_to_Traffic?, Calculations!H21&lt;Year_Open_to_Traffic?+'Inputs &amp; Outputs'!B$21), 1, 0)</f>
        <v>1</v>
      </c>
      <c r="M21" s="81">
        <f t="shared" si="11"/>
        <v>5.2995917138649595E-3</v>
      </c>
      <c r="N21" s="87">
        <f t="shared" si="12"/>
        <v>0.70578274717474843</v>
      </c>
      <c r="O21" s="88">
        <f t="shared" si="7"/>
        <v>1</v>
      </c>
      <c r="P21" s="84">
        <f t="shared" si="8"/>
        <v>272710.33980316808</v>
      </c>
      <c r="Q21" s="85">
        <f t="shared" si="0"/>
        <v>1</v>
      </c>
      <c r="R21" s="86">
        <f t="shared" si="1"/>
        <v>26.095160330337016</v>
      </c>
      <c r="S21" s="94">
        <f t="shared" si="2"/>
        <v>9891.8238568570596</v>
      </c>
      <c r="T21" s="80">
        <f t="shared" si="9"/>
        <v>3131.4981080628668</v>
      </c>
      <c r="W21" s="73"/>
    </row>
    <row r="22" spans="1:23" x14ac:dyDescent="0.25">
      <c r="H22" s="59">
        <f>H21+1</f>
        <v>2036</v>
      </c>
      <c r="I22" s="97">
        <f t="shared" si="10"/>
        <v>20503.089239550405</v>
      </c>
      <c r="J22" s="60">
        <f t="shared" si="4"/>
        <v>1199430.7205136989</v>
      </c>
      <c r="K22" s="60">
        <f>IF(H22=Year_Open_to_Traffic?,Calculations!$E$4,K21+(K21*M22))</f>
        <v>925275.12725342461</v>
      </c>
      <c r="L22" s="60">
        <f>IF(AND(H22&gt;=Year_Open_to_Traffic?, Calculations!H22&lt;Year_Open_to_Traffic?+'Inputs &amp; Outputs'!B$21), 1, 0)</f>
        <v>1</v>
      </c>
      <c r="M22" s="81">
        <f t="shared" si="11"/>
        <v>5.2995917138649595E-3</v>
      </c>
      <c r="N22" s="87">
        <f t="shared" si="12"/>
        <v>0.7095231075734646</v>
      </c>
      <c r="O22" s="88">
        <f t="shared" si="7"/>
        <v>1</v>
      </c>
      <c r="P22" s="84">
        <f t="shared" si="8"/>
        <v>274155.59326027427</v>
      </c>
      <c r="Q22" s="85">
        <f t="shared" si="0"/>
        <v>1</v>
      </c>
      <c r="R22" s="86">
        <f t="shared" si="1"/>
        <v>26.695349017934767</v>
      </c>
      <c r="S22" s="94">
        <f t="shared" si="2"/>
        <v>10172.964153749761</v>
      </c>
      <c r="T22" s="80">
        <f t="shared" si="9"/>
        <v>3009.8130151276382</v>
      </c>
      <c r="W22" s="73"/>
    </row>
    <row r="23" spans="1:23" x14ac:dyDescent="0.25">
      <c r="H23" s="15">
        <f t="shared" si="3"/>
        <v>2037</v>
      </c>
      <c r="I23" s="97">
        <f t="shared" si="10"/>
        <v>20611.747241392961</v>
      </c>
      <c r="J23" s="60">
        <f t="shared" si="4"/>
        <v>1205787.2136214883</v>
      </c>
      <c r="K23" s="60">
        <f>IF(H23=Year_Open_to_Traffic?,Calculations!$E$4,K22+(K22*M23))</f>
        <v>930178.70765086217</v>
      </c>
      <c r="L23" s="60">
        <f>IF(AND(H23&gt;=Year_Open_to_Traffic?, Calculations!H23&lt;Year_Open_to_Traffic?+'Inputs &amp; Outputs'!B$21), 1, 0)</f>
        <v>1</v>
      </c>
      <c r="M23" s="81">
        <f t="shared" si="11"/>
        <v>5.2995917138649595E-3</v>
      </c>
      <c r="N23" s="87">
        <f t="shared" si="12"/>
        <v>0.7132832903551567</v>
      </c>
      <c r="O23" s="88">
        <f t="shared" si="7"/>
        <v>1</v>
      </c>
      <c r="P23" s="84">
        <f t="shared" si="8"/>
        <v>275608.50597062614</v>
      </c>
      <c r="Q23" s="85">
        <f t="shared" si="0"/>
        <v>1</v>
      </c>
      <c r="R23" s="86">
        <f t="shared" si="1"/>
        <v>27.309342045347261</v>
      </c>
      <c r="S23" s="94">
        <f t="shared" si="2"/>
        <v>10462.094874620958</v>
      </c>
      <c r="T23" s="80">
        <f t="shared" si="9"/>
        <v>2892.8564135826887</v>
      </c>
      <c r="W23" s="73"/>
    </row>
    <row r="24" spans="1:23" x14ac:dyDescent="0.25">
      <c r="H24" s="59">
        <f t="shared" si="3"/>
        <v>2038</v>
      </c>
      <c r="I24" s="97">
        <f t="shared" si="10"/>
        <v>20720.981086281725</v>
      </c>
      <c r="J24" s="60">
        <f t="shared" si="4"/>
        <v>1212177.3935474812</v>
      </c>
      <c r="K24" s="60">
        <f>IF(H24=Year_Open_to_Traffic?,Calculations!$E$4,K23+(K23*M24))</f>
        <v>935108.27502234234</v>
      </c>
      <c r="L24" s="60">
        <f>IF(AND(H24&gt;=Year_Open_to_Traffic?, Calculations!H24&lt;Year_Open_to_Traffic?+'Inputs &amp; Outputs'!B$21), 1, 0)</f>
        <v>1</v>
      </c>
      <c r="M24" s="81">
        <f t="shared" si="11"/>
        <v>5.2995917138649595E-3</v>
      </c>
      <c r="N24" s="87">
        <f t="shared" si="12"/>
        <v>0.71706340057036122</v>
      </c>
      <c r="O24" s="88">
        <f t="shared" si="7"/>
        <v>1</v>
      </c>
      <c r="P24" s="84">
        <f>(J24-K24)*L24</f>
        <v>277069.11852513882</v>
      </c>
      <c r="Q24" s="85">
        <f t="shared" si="0"/>
        <v>1</v>
      </c>
      <c r="R24" s="86">
        <f t="shared" si="1"/>
        <v>27.93745691239025</v>
      </c>
      <c r="S24" s="94">
        <f t="shared" si="2"/>
        <v>10759.443119164516</v>
      </c>
      <c r="T24" s="80">
        <f t="shared" si="9"/>
        <v>2780.4445616870353</v>
      </c>
      <c r="W24" s="73"/>
    </row>
    <row r="25" spans="1:23" x14ac:dyDescent="0.25">
      <c r="H25" s="15">
        <f t="shared" si="3"/>
        <v>2039</v>
      </c>
      <c r="I25" s="97">
        <f t="shared" si="10"/>
        <v>20830.793825949735</v>
      </c>
      <c r="J25" s="60">
        <f t="shared" si="4"/>
        <v>1218601.4388180599</v>
      </c>
      <c r="K25" s="60">
        <f>IF(H25=Year_Open_to_Traffic?,Calculations!$E$4,K24+(K24*M25))</f>
        <v>940063.96708821726</v>
      </c>
      <c r="L25" s="60">
        <f>IF(AND(H25&gt;=Year_Open_to_Traffic?, Calculations!H25&lt;Year_Open_to_Traffic?+'Inputs &amp; Outputs'!B$21), 1, 0)</f>
        <v>1</v>
      </c>
      <c r="M25" s="81">
        <f t="shared" si="11"/>
        <v>5.2995917138649595E-3</v>
      </c>
      <c r="N25" s="87">
        <f t="shared" si="12"/>
        <v>0.72086354382633977</v>
      </c>
      <c r="O25" s="88">
        <f t="shared" si="7"/>
        <v>1</v>
      </c>
      <c r="P25" s="84">
        <f t="shared" si="8"/>
        <v>278537.4717298426</v>
      </c>
      <c r="Q25" s="85">
        <f t="shared" si="0"/>
        <v>1</v>
      </c>
      <c r="R25" s="86">
        <f t="shared" si="1"/>
        <v>28.580018421375218</v>
      </c>
      <c r="S25" s="94">
        <f t="shared" si="2"/>
        <v>11065.242441584229</v>
      </c>
      <c r="T25" s="80">
        <f t="shared" si="9"/>
        <v>2672.4008576148544</v>
      </c>
      <c r="W25" s="73"/>
    </row>
    <row r="26" spans="1:23" x14ac:dyDescent="0.25">
      <c r="H26" s="59">
        <f t="shared" si="3"/>
        <v>2040</v>
      </c>
      <c r="I26" s="97">
        <f t="shared" si="10"/>
        <v>20941.188528302966</v>
      </c>
      <c r="J26" s="60">
        <f t="shared" si="4"/>
        <v>1225059.5289057239</v>
      </c>
      <c r="K26" s="60">
        <f>IF(H26=Year_Open_to_Traffic?,Calculations!$E$4,K25+(K25*M26))</f>
        <v>945045.92229870101</v>
      </c>
      <c r="L26" s="60">
        <f>IF(AND(H26&gt;=Year_Open_to_Traffic?, Calculations!H26&lt;Year_Open_to_Traffic?+'Inputs &amp; Outputs'!B$21), 1, 0)</f>
        <v>1</v>
      </c>
      <c r="M26" s="81">
        <f t="shared" si="11"/>
        <v>5.2995917138649595E-3</v>
      </c>
      <c r="N26" s="87">
        <f t="shared" si="12"/>
        <v>0.72468382629002914</v>
      </c>
      <c r="O26" s="88">
        <f t="shared" si="7"/>
        <v>1</v>
      </c>
      <c r="P26" s="84">
        <f t="shared" si="8"/>
        <v>280013.60660702293</v>
      </c>
      <c r="Q26" s="85">
        <f t="shared" si="0"/>
        <v>1</v>
      </c>
      <c r="R26" s="86">
        <f t="shared" si="1"/>
        <v>29.237358845066851</v>
      </c>
      <c r="S26" s="94">
        <f t="shared" si="2"/>
        <v>11379.733034040566</v>
      </c>
      <c r="T26" s="80">
        <f t="shared" si="9"/>
        <v>2568.5555620096111</v>
      </c>
      <c r="W26" s="73"/>
    </row>
    <row r="27" spans="1:23" x14ac:dyDescent="0.25">
      <c r="H27" s="15">
        <f t="shared" si="3"/>
        <v>2041</v>
      </c>
      <c r="I27" s="97">
        <f t="shared" si="10"/>
        <v>21052.168277506044</v>
      </c>
      <c r="J27" s="60">
        <f t="shared" si="4"/>
        <v>1231551.844234104</v>
      </c>
      <c r="K27" s="60">
        <f>IF(H27=Year_Open_to_Traffic?,Calculations!$E$4,K26+(K26*M27))</f>
        <v>950054.27983773709</v>
      </c>
      <c r="L27" s="60">
        <f>IF(AND(H27&gt;=Year_Open_to_Traffic?, Calculations!H27&lt;Year_Open_to_Traffic?+'Inputs &amp; Outputs'!B$21), 1, 0)</f>
        <v>1</v>
      </c>
      <c r="M27" s="81">
        <f t="shared" si="11"/>
        <v>5.2995917138649595E-3</v>
      </c>
      <c r="N27" s="87">
        <f t="shared" si="12"/>
        <v>0.72852435469100774</v>
      </c>
      <c r="O27" s="88">
        <f t="shared" si="7"/>
        <v>1</v>
      </c>
      <c r="P27" s="84">
        <f t="shared" si="8"/>
        <v>281497.56439636694</v>
      </c>
      <c r="Q27" s="85">
        <f t="shared" si="0"/>
        <v>1</v>
      </c>
      <c r="R27" s="86">
        <f t="shared" si="1"/>
        <v>29.909818098503379</v>
      </c>
      <c r="S27" s="94">
        <f t="shared" si="2"/>
        <v>11703.161915311235</v>
      </c>
      <c r="T27" s="80">
        <f t="shared" si="9"/>
        <v>2468.7455313192881</v>
      </c>
      <c r="W27" s="73"/>
    </row>
    <row r="28" spans="1:23" x14ac:dyDescent="0.25">
      <c r="H28" s="59">
        <f t="shared" si="3"/>
        <v>2042</v>
      </c>
      <c r="I28" s="97">
        <f t="shared" si="10"/>
        <v>21163.736174068406</v>
      </c>
      <c r="J28" s="60">
        <f t="shared" si="4"/>
        <v>1238078.5661830022</v>
      </c>
      <c r="K28" s="60">
        <f>IF(H28=Year_Open_to_Traffic?,Calculations!$E$4,K27+(K27*M28))</f>
        <v>955089.17962688708</v>
      </c>
      <c r="L28" s="60">
        <f>IF(AND(H28&gt;=Year_Open_to_Traffic?, Calculations!H28&lt;Year_Open_to_Traffic?+'Inputs &amp; Outputs'!B$21), 1, 0)</f>
        <v>1</v>
      </c>
      <c r="M28" s="81">
        <f t="shared" si="11"/>
        <v>5.2995917138649595E-3</v>
      </c>
      <c r="N28" s="87">
        <f t="shared" si="12"/>
        <v>0.73238523632447705</v>
      </c>
      <c r="O28" s="88">
        <f t="shared" si="7"/>
        <v>1</v>
      </c>
      <c r="P28" s="84">
        <f t="shared" si="8"/>
        <v>282989.38655611512</v>
      </c>
      <c r="Q28" s="85">
        <f t="shared" si="0"/>
        <v>1</v>
      </c>
      <c r="R28" s="86">
        <f t="shared" si="1"/>
        <v>30.597743914768959</v>
      </c>
      <c r="S28" s="94">
        <f t="shared" si="2"/>
        <v>12035.783124813785</v>
      </c>
      <c r="T28" s="80">
        <f t="shared" si="9"/>
        <v>2372.8139614938</v>
      </c>
      <c r="W28" s="73"/>
    </row>
    <row r="29" spans="1:23" x14ac:dyDescent="0.25">
      <c r="H29" s="15">
        <f t="shared" si="3"/>
        <v>2043</v>
      </c>
      <c r="I29" s="97">
        <f t="shared" si="10"/>
        <v>21275.895334930923</v>
      </c>
      <c r="J29" s="60">
        <f t="shared" si="4"/>
        <v>1244639.8770934595</v>
      </c>
      <c r="K29" s="60">
        <f>IF(H29=Year_Open_to_Traffic?,Calculations!$E$4,K28+(K28*M29))</f>
        <v>960150.76232923986</v>
      </c>
      <c r="L29" s="60">
        <f>IF(AND(H29&gt;=Year_Open_to_Traffic?, Calculations!H29&lt;Year_Open_to_Traffic?+'Inputs &amp; Outputs'!B$21), 1, 0)</f>
        <v>1</v>
      </c>
      <c r="M29" s="81">
        <f t="shared" si="11"/>
        <v>5.2995917138649595E-3</v>
      </c>
      <c r="N29" s="87">
        <f t="shared" si="12"/>
        <v>0.7362665790542593</v>
      </c>
      <c r="O29" s="88">
        <f t="shared" si="7"/>
        <v>1</v>
      </c>
      <c r="P29" s="84">
        <f t="shared" si="8"/>
        <v>284489.11476421962</v>
      </c>
      <c r="Q29" s="85">
        <f t="shared" si="0"/>
        <v>1</v>
      </c>
      <c r="R29" s="86">
        <f t="shared" si="1"/>
        <v>31.301492024808638</v>
      </c>
      <c r="S29" s="94">
        <f t="shared" si="2"/>
        <v>12377.857922142553</v>
      </c>
      <c r="T29" s="80">
        <f t="shared" si="9"/>
        <v>2280.6101416419028</v>
      </c>
      <c r="W29" s="73"/>
    </row>
    <row r="30" spans="1:23" x14ac:dyDescent="0.25">
      <c r="H30" s="15">
        <f t="shared" si="3"/>
        <v>2044</v>
      </c>
      <c r="I30" s="97">
        <f t="shared" si="10"/>
        <v>21388.648893552981</v>
      </c>
      <c r="J30" s="60">
        <f t="shared" si="4"/>
        <v>1251235.9602728498</v>
      </c>
      <c r="K30" s="60">
        <f>IF(H30=Year_Open_to_Traffic?,Calculations!$E$4,K29+(K29*M30))</f>
        <v>965239.16935334099</v>
      </c>
      <c r="L30" s="60">
        <f>IF(AND(H30&gt;=Year_Open_to_Traffic?, Calculations!H30&lt;Year_Open_to_Traffic?+'Inputs &amp; Outputs'!B$21), 1, 0)</f>
        <v>1</v>
      </c>
      <c r="M30" s="81">
        <f t="shared" si="11"/>
        <v>5.2995917138649595E-3</v>
      </c>
      <c r="N30" s="87">
        <f t="shared" si="12"/>
        <v>0.74016849131581097</v>
      </c>
      <c r="O30" s="88">
        <f t="shared" si="7"/>
        <v>1</v>
      </c>
      <c r="P30" s="84">
        <f t="shared" si="8"/>
        <v>285996.79091950879</v>
      </c>
      <c r="Q30" s="85">
        <f t="shared" si="0"/>
        <v>1</v>
      </c>
      <c r="R30" s="86">
        <f t="shared" si="1"/>
        <v>32.021426341379232</v>
      </c>
      <c r="S30" s="94">
        <f t="shared" si="2"/>
        <v>12729.654992276843</v>
      </c>
      <c r="T30" s="80">
        <f t="shared" si="9"/>
        <v>2191.9892172606351</v>
      </c>
      <c r="W30" s="73"/>
    </row>
    <row r="31" spans="1:23" x14ac:dyDescent="0.25">
      <c r="H31" s="15">
        <f t="shared" si="3"/>
        <v>2045</v>
      </c>
      <c r="I31" s="97">
        <f t="shared" si="10"/>
        <v>21502.000000000022</v>
      </c>
      <c r="J31" s="60">
        <f t="shared" si="4"/>
        <v>1257867.0000000016</v>
      </c>
      <c r="K31" s="60">
        <f>IF(H31=Year_Open_to_Traffic?,Calculations!$E$4,K30+(K30*M31))</f>
        <v>970354.5428571438</v>
      </c>
      <c r="L31" s="60">
        <f>IF(AND(H31&gt;=Year_Open_to_Traffic?, Calculations!H31&lt;Year_Open_to_Traffic?+'Inputs &amp; Outputs'!B$21), 1, 0)</f>
        <v>1</v>
      </c>
      <c r="M31" s="81">
        <f t="shared" si="11"/>
        <v>5.2995917138649595E-3</v>
      </c>
      <c r="N31" s="87">
        <f t="shared" si="12"/>
        <v>0.74409108211925212</v>
      </c>
      <c r="O31" s="88">
        <f t="shared" si="7"/>
        <v>1</v>
      </c>
      <c r="P31" s="84">
        <f t="shared" si="8"/>
        <v>287512.45714285783</v>
      </c>
      <c r="Q31" s="85">
        <f t="shared" si="0"/>
        <v>1</v>
      </c>
      <c r="R31" s="86">
        <f t="shared" si="1"/>
        <v>32.757919147230957</v>
      </c>
      <c r="S31" s="94">
        <f t="shared" si="2"/>
        <v>13091.450656621344</v>
      </c>
      <c r="T31" s="80">
        <f t="shared" si="9"/>
        <v>2106.8119626652683</v>
      </c>
      <c r="W31" s="73"/>
    </row>
    <row r="32" spans="1:23" x14ac:dyDescent="0.25">
      <c r="H32" s="15">
        <f t="shared" si="3"/>
        <v>2046</v>
      </c>
      <c r="I32" s="97">
        <f t="shared" si="10"/>
        <v>21615.951821031547</v>
      </c>
      <c r="J32" s="60">
        <f t="shared" si="4"/>
        <v>1264533.1815303457</v>
      </c>
      <c r="K32" s="60">
        <f>IF(H32=Year_Open_to_Traffic?,Calculations!$E$4,K31+(K31*M32))</f>
        <v>975497.02575198072</v>
      </c>
      <c r="L32" s="60">
        <f>IF(AND(H32&gt;=Year_Open_to_Traffic?, Calculations!H32&lt;Year_Open_to_Traffic?+'Inputs &amp; Outputs'!B$21), 1, 0)</f>
        <v>1</v>
      </c>
      <c r="M32" s="81">
        <f t="shared" si="11"/>
        <v>5.2995917138649595E-3</v>
      </c>
      <c r="N32" s="87">
        <f t="shared" si="12"/>
        <v>0.74803446105241211</v>
      </c>
      <c r="O32" s="88">
        <f t="shared" si="7"/>
        <v>1</v>
      </c>
      <c r="P32" s="84">
        <f t="shared" si="8"/>
        <v>289036.15577836498</v>
      </c>
      <c r="Q32" s="85">
        <f t="shared" si="0"/>
        <v>1</v>
      </c>
      <c r="R32" s="86">
        <f t="shared" si="1"/>
        <v>33.511351287617266</v>
      </c>
      <c r="S32" s="94">
        <f t="shared" si="2"/>
        <v>13463.529090044645</v>
      </c>
      <c r="T32" s="80">
        <f t="shared" si="9"/>
        <v>2024.944562262282</v>
      </c>
      <c r="W32" s="73"/>
    </row>
    <row r="33" spans="8:23" x14ac:dyDescent="0.25">
      <c r="H33" s="15">
        <f t="shared" si="3"/>
        <v>2047</v>
      </c>
      <c r="I33" s="97">
        <f t="shared" si="10"/>
        <v>21730.507540189592</v>
      </c>
      <c r="J33" s="60">
        <f t="shared" si="4"/>
        <v>1271234.6911010912</v>
      </c>
      <c r="K33" s="60">
        <f>IF(H33=Year_Open_to_Traffic?,Calculations!$E$4,K32+(K32*M33))</f>
        <v>980666.76170655584</v>
      </c>
      <c r="L33" s="60">
        <f>IF(AND(H33&gt;=Year_Open_to_Traffic?, Calculations!H33&lt;Year_Open_to_Traffic?+'Inputs &amp; Outputs'!B$21), 1, 0)</f>
        <v>1</v>
      </c>
      <c r="M33" s="81">
        <f t="shared" si="11"/>
        <v>5.2995917138649595E-3</v>
      </c>
      <c r="N33" s="87">
        <f t="shared" si="12"/>
        <v>0.75199873828389097</v>
      </c>
      <c r="O33" s="88">
        <f t="shared" si="7"/>
        <v>1</v>
      </c>
      <c r="P33" s="84">
        <f t="shared" si="8"/>
        <v>290567.92939453537</v>
      </c>
      <c r="Q33" s="85">
        <f t="shared" si="0"/>
        <v>1</v>
      </c>
      <c r="R33" s="86">
        <f t="shared" si="1"/>
        <v>34.282112367232457</v>
      </c>
      <c r="S33" s="94">
        <f t="shared" si="2"/>
        <v>13846.182544086363</v>
      </c>
      <c r="T33" s="80">
        <f t="shared" si="9"/>
        <v>1946.2584003217275</v>
      </c>
      <c r="W33" s="73"/>
    </row>
    <row r="34" spans="8:23" x14ac:dyDescent="0.25">
      <c r="H34" s="15">
        <f t="shared" si="3"/>
        <v>2048</v>
      </c>
      <c r="I34" s="97">
        <f t="shared" si="10"/>
        <v>21845.670357887662</v>
      </c>
      <c r="J34" s="60">
        <f t="shared" si="4"/>
        <v>1277971.7159364282</v>
      </c>
      <c r="K34" s="60">
        <f>IF(H34=Year_Open_to_Traffic?,Calculations!$E$4,K33+(K33*M34))</f>
        <v>985863.89515095868</v>
      </c>
      <c r="L34" s="60">
        <f>IF(AND(H34&gt;=Year_Open_to_Traffic?, Calculations!H34&lt;Year_Open_to_Traffic?+'Inputs &amp; Outputs'!B$21), 1, 0)</f>
        <v>1</v>
      </c>
      <c r="M34" s="81">
        <f t="shared" si="11"/>
        <v>5.2995917138649595E-3</v>
      </c>
      <c r="N34" s="87">
        <f t="shared" si="12"/>
        <v>0.75598402456613722</v>
      </c>
      <c r="O34" s="88">
        <f t="shared" si="7"/>
        <v>1</v>
      </c>
      <c r="P34" s="84">
        <f t="shared" si="8"/>
        <v>292107.82078546949</v>
      </c>
      <c r="Q34" s="85">
        <f t="shared" si="0"/>
        <v>1</v>
      </c>
      <c r="R34" s="86">
        <f t="shared" si="1"/>
        <v>35.070600951678806</v>
      </c>
      <c r="S34" s="94">
        <f t="shared" si="2"/>
        <v>14239.711576508073</v>
      </c>
      <c r="T34" s="80">
        <f t="shared" si="9"/>
        <v>1870.6298589187047</v>
      </c>
      <c r="W34" s="73"/>
    </row>
    <row r="35" spans="8:23" x14ac:dyDescent="0.25">
      <c r="H35" s="15">
        <f t="shared" si="3"/>
        <v>2049</v>
      </c>
      <c r="I35" s="97">
        <f t="shared" si="10"/>
        <v>21961.443491500148</v>
      </c>
      <c r="J35" s="60">
        <f t="shared" si="4"/>
        <v>1284744.4442527588</v>
      </c>
      <c r="K35" s="60">
        <f>IF(H35=Year_Open_to_Traffic?,Calculations!$E$4,K34+(K34*M35))</f>
        <v>991088.57128069934</v>
      </c>
      <c r="L35" s="60">
        <f>IF(AND(H35&gt;=Year_Open_to_Traffic?, Calculations!H35&lt;Year_Open_to_Traffic?+'Inputs &amp; Outputs'!B$21), 1, 0)</f>
        <v>1</v>
      </c>
      <c r="M35" s="81">
        <f t="shared" si="11"/>
        <v>5.2995917138649595E-3</v>
      </c>
      <c r="N35" s="87">
        <f t="shared" si="12"/>
        <v>0.75999043123854226</v>
      </c>
      <c r="O35" s="88">
        <f t="shared" si="7"/>
        <v>1</v>
      </c>
      <c r="P35" s="84">
        <f t="shared" si="8"/>
        <v>293655.87297205941</v>
      </c>
      <c r="Q35" s="85">
        <f t="shared" si="0"/>
        <v>1</v>
      </c>
      <c r="R35" s="86">
        <f t="shared" si="1"/>
        <v>35.877224773567399</v>
      </c>
      <c r="S35" s="94">
        <f t="shared" si="2"/>
        <v>14644.425287368456</v>
      </c>
      <c r="T35" s="80">
        <f t="shared" si="9"/>
        <v>1797.9401237265133</v>
      </c>
      <c r="W35" s="73"/>
    </row>
    <row r="36" spans="8:23" x14ac:dyDescent="0.25">
      <c r="H36" s="15">
        <f t="shared" si="3"/>
        <v>2050</v>
      </c>
      <c r="I36" s="97">
        <f t="shared" si="10"/>
        <v>22077.830175452214</v>
      </c>
      <c r="J36" s="60">
        <f t="shared" si="4"/>
        <v>1291553.0652639547</v>
      </c>
      <c r="K36" s="60">
        <f>IF(H36=Year_Open_to_Traffic?,Calculations!$E$4,K35+(K35*M36))</f>
        <v>996340.93606076483</v>
      </c>
      <c r="L36" s="60">
        <f>IF(AND(H36&gt;=Year_Open_to_Traffic?, Calculations!H36&lt;Year_Open_to_Traffic?+'Inputs &amp; Outputs'!B$21), 1, 0)</f>
        <v>1</v>
      </c>
      <c r="M36" s="81">
        <f t="shared" si="11"/>
        <v>5.2995917138649595E-3</v>
      </c>
      <c r="N36" s="87">
        <f t="shared" si="12"/>
        <v>0.76401807023055068</v>
      </c>
      <c r="O36" s="88">
        <f t="shared" si="7"/>
        <v>1</v>
      </c>
      <c r="P36" s="84">
        <f t="shared" si="8"/>
        <v>295212.12920318986</v>
      </c>
      <c r="Q36" s="85">
        <f t="shared" si="0"/>
        <v>1</v>
      </c>
      <c r="R36" s="86">
        <f t="shared" si="1"/>
        <v>36.702400943359457</v>
      </c>
      <c r="S36" s="94">
        <f t="shared" si="2"/>
        <v>15060.64156180805</v>
      </c>
      <c r="T36" s="80">
        <f t="shared" si="9"/>
        <v>1728.0749973563825</v>
      </c>
      <c r="W36" s="73"/>
    </row>
    <row r="37" spans="8:23" x14ac:dyDescent="0.25">
      <c r="H37" s="52"/>
      <c r="I37" s="52"/>
      <c r="J37" s="52"/>
      <c r="K37" s="52"/>
      <c r="L37" s="52"/>
      <c r="M37" s="75"/>
      <c r="N37" s="76"/>
      <c r="O37" s="77"/>
      <c r="P37" s="52"/>
      <c r="Q37" s="52"/>
      <c r="R37" s="52"/>
      <c r="S37" s="74"/>
      <c r="T37" s="80">
        <f>SUM(T4:T36)</f>
        <v>77039.509019185294</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topLeftCell="A10"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topLeftCell="A7"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4" workbookViewId="0">
      <selection activeCell="C11" sqref="C11"/>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2018-10-25T19:32:22Z</cp:lastPrinted>
  <dcterms:created xsi:type="dcterms:W3CDTF">2012-07-25T15:48:32Z</dcterms:created>
  <dcterms:modified xsi:type="dcterms:W3CDTF">2018-10-31T22:01:00Z</dcterms:modified>
</cp:coreProperties>
</file>