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P:\Infrastructure Planning Branch\Infrastructure Planning &amp; Prioritization\HGAC Coordination\2018 TIP\Waugh-Heights (N-2016T-0003)\"/>
    </mc:Choice>
  </mc:AlternateContent>
  <xr:revisionPtr revIDLastSave="0" documentId="10_ncr:100000_{49248CCB-7FB0-4F52-A9EA-BC2F056E3287}" xr6:coauthVersionLast="31" xr6:coauthVersionMax="31" xr10:uidLastSave="{00000000-0000-0000-0000-000000000000}"/>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Outputs'!$B$3:$H$38</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17"/>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s="1"/>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R9" i="12" s="1"/>
  <c r="H16" i="5"/>
  <c r="J16" i="5"/>
  <c r="K16" i="5" s="1"/>
  <c r="G17" i="5"/>
  <c r="G8" i="7"/>
  <c r="H7" i="7"/>
  <c r="I7" i="7" s="1"/>
  <c r="J7" i="7" s="1"/>
  <c r="M10" i="12"/>
  <c r="J6" i="7"/>
  <c r="J5" i="7"/>
  <c r="J4" i="7"/>
  <c r="P10" i="12" l="1"/>
  <c r="P11" i="12" s="1"/>
  <c r="H8" i="7"/>
  <c r="I8" i="7" s="1"/>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R10" i="12" s="1"/>
  <c r="R11" i="12" s="1"/>
  <c r="R12" i="12" s="1"/>
  <c r="R13" i="12" s="1"/>
  <c r="R14" i="12" s="1"/>
  <c r="R15" i="12" s="1"/>
  <c r="R16" i="12" s="1"/>
  <c r="R17" i="12" s="1"/>
  <c r="R18" i="12" s="1"/>
  <c r="R19" i="12" s="1"/>
  <c r="R20" i="12" s="1"/>
  <c r="R21" i="12" s="1"/>
  <c r="R22" i="12" s="1"/>
  <c r="H21" i="7"/>
  <c r="I21" i="7" s="1"/>
  <c r="J21" i="7" s="1"/>
  <c r="G22" i="7"/>
  <c r="I29" i="5"/>
  <c r="B13" i="5"/>
  <c r="S23" i="12"/>
  <c r="P24" i="12"/>
  <c r="Q23" i="12"/>
  <c r="M24" i="12"/>
  <c r="R23" i="12" l="1"/>
  <c r="T4" i="12"/>
  <c r="U4" i="12" s="1"/>
  <c r="G23" i="7"/>
  <c r="H22" i="7"/>
  <c r="I22" i="7" s="1"/>
  <c r="J22" i="7" s="1"/>
  <c r="S24" i="12"/>
  <c r="P25" i="12"/>
  <c r="Q24" i="12"/>
  <c r="M25" i="12"/>
  <c r="R24" i="12" l="1"/>
  <c r="T5" i="12"/>
  <c r="U5" i="12" s="1"/>
  <c r="G24" i="7"/>
  <c r="H23" i="7"/>
  <c r="I23" i="7" s="1"/>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s="1"/>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<sst xmlns="http://schemas.openxmlformats.org/spreadsheetml/2006/main" count="440" uniqueCount="285">
  <si>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</si>
  <si>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</si>
  <si>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</si>
  <si>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</si>
  <si>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</si>
  <si>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</si>
  <si>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</si>
  <si>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</si>
  <si>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</si>
  <si>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</si>
  <si>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</si>
  <si>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</si>
  <si>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</si>
  <si>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</si>
  <si>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</si>
  <si>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</si>
  <si>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</si>
  <si>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</si>
  <si>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</si>
  <si>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</si>
  <si>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</si>
  <si>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</si>
  <si>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</si>
  <si>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</si>
  <si>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</si>
  <si>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</si>
  <si>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</si>
  <si>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</si>
  <si>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</si>
  <si>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</si>
  <si>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</si>
  <si>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</si>
  <si>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</si>
  <si>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</si>
  <si>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</si>
  <si>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</si>
  <si>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</si>
  <si>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</si>
  <si>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</si>
  <si>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</si>
  <si>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</si>
  <si>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</si>
  <si>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</si>
  <si>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</si>
  <si>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</si>
  <si>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</si>
  <si>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</si>
  <si>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</si>
  <si>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</si>
  <si>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</si>
  <si>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</si>
  <si>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</si>
  <si>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</si>
  <si>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</si>
  <si>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</si>
  <si>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</si>
  <si>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</si>
  <si>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</si>
  <si>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</si>
  <si>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</si>
  <si>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</si>
  <si>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</si>
  <si>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</si>
  <si>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</si>
  <si>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</si>
  <si>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</si>
  <si>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</si>
  <si>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</si>
  <si>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</si>
  <si>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</si>
  <si>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</si>
  <si>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</si>
  <si>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</si>
  <si>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</si>
  <si>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</si>
  <si>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</si>
  <si>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</si>
  <si>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</si>
  <si>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</si>
  <si>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</si>
  <si>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</si>
  <si>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</si>
  <si>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</si>
  <si>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</si>
  <si>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</si>
  <si>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</si>
  <si>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</si>
  <si>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</si>
  <si>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</si>
  <si>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</si>
  <si>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</si>
  <si>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</si>
  <si>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</si>
  <si>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</si>
  <si>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</si>
  <si>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</si>
  <si>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</si>
  <si>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</si>
  <si>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</si>
  <si>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</si>
  <si>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</si>
  <si>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</si>
  <si>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</si>
  <si>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</si>
  <si>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</si>
  <si>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</si>
  <si>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</si>
  <si>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</si>
  <si>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</si>
  <si>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</si>
  <si>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</si>
  <si>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</si>
  <si>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</si>
  <si>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</si>
  <si>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</si>
  <si>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</si>
  <si>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</si>
  <si>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</si>
  <si>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</si>
  <si>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</si>
  <si>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</si>
  <si>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</si>
  <si>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</si>
  <si>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</si>
  <si>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</si>
  <si>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</si>
  <si>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</si>
  <si>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</si>
  <si>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</si>
  <si>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</si>
  <si>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</si>
  <si>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</si>
  <si>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</si>
  <si>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</si>
  <si>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</si>
  <si>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</si>
  <si>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</si>
  <si>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</si>
  <si>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</si>
  <si>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</si>
  <si>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</si>
  <si>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</si>
  <si>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</si>
  <si>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</si>
  <si>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</si>
  <si>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</si>
  <si>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</si>
  <si>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</si>
  <si>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</si>
  <si>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</si>
  <si>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</si>
  <si>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</si>
  <si>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</si>
  <si>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</si>
  <si>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</si>
  <si>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</si>
  <si>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</si>
  <si>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</si>
  <si>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</si>
  <si>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</si>
  <si>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</si>
  <si>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</si>
  <si>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</si>
  <si>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</si>
  <si>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</si>
  <si>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</si>
  <si>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</si>
  <si>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</si>
  <si>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</si>
  <si>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</si>
  <si>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</si>
  <si>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</si>
  <si>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</si>
  <si>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</si>
  <si>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</si>
  <si>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</si>
  <si>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</si>
  <si>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</si>
  <si>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</si>
  <si>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</si>
  <si>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</si>
  <si>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</si>
  <si>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</si>
  <si>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</si>
  <si>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</si>
  <si>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</si>
  <si>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</si>
  <si>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</si>
  <si>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</si>
  <si>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</si>
  <si>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</si>
  <si>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</si>
  <si>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</si>
  <si>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</si>
  <si>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</si>
  <si>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</si>
  <si>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</si>
  <si>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</si>
  <si>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</si>
  <si>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</si>
  <si>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</si>
  <si>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</si>
  <si>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</si>
  <si>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</si>
  <si>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</si>
  <si>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</si>
  <si>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</si>
  <si>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</si>
  <si>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</si>
  <si>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</si>
  <si>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</si>
  <si>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</si>
  <si>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</si>
  <si>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</si>
  <si>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</si>
  <si>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</si>
  <si>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</si>
  <si>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</si>
  <si>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</si>
  <si>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</si>
  <si>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</si>
  <si>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</si>
  <si>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</si>
  <si>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</si>
  <si>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</si>
  <si>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</si>
  <si>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</si>
  <si>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</si>
  <si>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</si>
  <si>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</si>
  <si>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</si>
  <si>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</si>
  <si>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</si>
  <si>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</si>
  <si>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</si>
  <si>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</si>
  <si>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</si>
  <si>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</si>
  <si>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</si>
  <si>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</si>
  <si>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</si>
  <si>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</si>
  <si>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</si>
  <si>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</si>
  <si>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</si>
  <si>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</si>
  <si>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</si>
  <si>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</si>
  <si>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</si>
  <si>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</si>
  <si>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</si>
  <si>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</si>
  <si>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</si>
  <si>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</si>
  <si>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</si>
  <si>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</si>
  <si>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</si>
  <si>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</si>
  <si>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</si>
  <si>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</si>
  <si>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</si>
  <si>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</si>
  <si>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</si>
  <si>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</si>
  <si>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</si>
  <si>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</si>
  <si>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</si>
  <si>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</si>
  <si>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</si>
  <si>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</si>
  <si>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</si>
  <si>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</si>
  <si>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</si>
  <si>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</si>
  <si>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</si>
  <si>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</si>
  <si>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</si>
  <si>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</si>
  <si>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</si>
  <si>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</si>
  <si>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</si>
  <si>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Waugh/Heights</t>
  </si>
  <si>
    <t>Waugh Rd</t>
  </si>
  <si>
    <t>Washington Ave</t>
  </si>
  <si>
    <t>Nevada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</si>
</sst>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00000000-0005-0000-0000-000004000000}"/>
    <cellStyle name="Normal_Crashes" xfId="6" xr:uid="{00000000-0005-0000-0000-000005000000}"/>
    <cellStyle name="Normal_Sheet1" xfId="5" xr:uid="{00000000-0005-0000-0000-000006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topLeftCell="A10" zoomScale="83" zoomScaleNormal="83" workbookViewId="0">
      <selection activeCell="C17" sqref="C17"/>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x14ac:dyDescent="0.25">
      <c r="B6" s="4" t="s">
        <v>166</v>
      </c>
      <c r="C6" s="120" t="s">
        <v>281</v>
      </c>
      <c r="D6" s="94"/>
    </row>
    <row r="7" spans="2:19" x14ac:dyDescent="0.25">
      <c r="B7" s="4" t="s">
        <v>117</v>
      </c>
      <c r="C7" s="121" t="s">
        <v>118</v>
      </c>
      <c r="D7" s="64"/>
      <c r="E7" s="4"/>
      <c r="F7" t="s">
        <v>257</v>
      </c>
    </row>
    <row r="8" spans="2:19" x14ac:dyDescent="0.25">
      <c r="B8" s="4" t="s">
        <v>126</v>
      </c>
      <c r="C8" s="121" t="s">
        <v>128</v>
      </c>
      <c r="D8" s="64"/>
      <c r="E8" s="86"/>
      <c r="F8" t="s">
        <v>263</v>
      </c>
    </row>
    <row r="9" spans="2:19" x14ac:dyDescent="0.25">
      <c r="B9" s="4" t="s">
        <v>167</v>
      </c>
      <c r="C9" s="121" t="s">
        <v>282</v>
      </c>
      <c r="D9" s="64"/>
      <c r="E9" s="122"/>
      <c r="F9" t="s">
        <v>268</v>
      </c>
    </row>
    <row r="10" spans="2:19" x14ac:dyDescent="0.25">
      <c r="B10" s="4" t="s">
        <v>114</v>
      </c>
      <c r="C10" s="121" t="s">
        <v>283</v>
      </c>
      <c r="D10" s="64"/>
      <c r="E10" s="9"/>
      <c r="F10" t="s">
        <v>258</v>
      </c>
    </row>
    <row r="11" spans="2:19" x14ac:dyDescent="0.25">
      <c r="B11" s="4" t="s">
        <v>115</v>
      </c>
      <c r="C11" s="121" t="s">
        <v>284</v>
      </c>
      <c r="D11" s="64"/>
    </row>
    <row r="12" spans="2:19" x14ac:dyDescent="0.25">
      <c r="B12" s="4" t="s">
        <v>116</v>
      </c>
      <c r="C12" s="121">
        <v>2.7</v>
      </c>
      <c r="D12" s="95"/>
      <c r="N12" s="180"/>
      <c r="O12" s="180"/>
      <c r="P12" s="180"/>
      <c r="Q12" s="180"/>
      <c r="R12" s="180"/>
      <c r="S12" s="180"/>
    </row>
    <row r="13" spans="2:19" x14ac:dyDescent="0.25">
      <c r="B13" s="4" t="s">
        <v>77</v>
      </c>
      <c r="C13" s="121"/>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2030</v>
      </c>
      <c r="D17" s="96"/>
    </row>
    <row r="18" spans="2:13" x14ac:dyDescent="0.25">
      <c r="B18" s="4" t="s">
        <v>259</v>
      </c>
      <c r="C18" s="120" t="s">
        <v>179</v>
      </c>
      <c r="D18" s="26"/>
    </row>
    <row r="19" spans="2:13" x14ac:dyDescent="0.25">
      <c r="B19" s="122" t="s">
        <v>251</v>
      </c>
      <c r="C19" s="174">
        <f>VLOOKUP(C18,'CRF Lookup Table'!C3:F84,2, FALSE)</f>
        <v>515</v>
      </c>
      <c r="D19" s="97"/>
    </row>
    <row r="20" spans="2:13" x14ac:dyDescent="0.25">
      <c r="B20" s="122" t="s">
        <v>102</v>
      </c>
      <c r="C20" s="175">
        <f>VLOOKUP(C18,'CRF Lookup Table'!C3:F84,3, FALSE)</f>
        <v>0.65</v>
      </c>
      <c r="D20" s="98"/>
      <c r="F20" s="68"/>
    </row>
    <row r="21" spans="2:13" x14ac:dyDescent="0.25">
      <c r="B21" s="122" t="s">
        <v>101</v>
      </c>
      <c r="C21" s="176">
        <f>VLOOKUP(C18,'CRF Lookup Table'!C3:F84,4, FALSE)</f>
        <v>30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24163</v>
      </c>
      <c r="D25" s="99"/>
      <c r="I25" s="49"/>
    </row>
    <row r="26" spans="2:13" x14ac:dyDescent="0.25">
      <c r="I26" s="49"/>
    </row>
    <row r="27" spans="2:13" x14ac:dyDescent="0.25">
      <c r="B27" s="86" t="s">
        <v>269</v>
      </c>
      <c r="C27" s="87">
        <v>12683</v>
      </c>
      <c r="D27" s="99"/>
      <c r="I27" s="49"/>
    </row>
    <row r="28" spans="2:13" x14ac:dyDescent="0.25">
      <c r="B28" s="86" t="s">
        <v>150</v>
      </c>
      <c r="C28" s="87">
        <v>21683</v>
      </c>
      <c r="D28" s="99"/>
      <c r="I28" s="49"/>
    </row>
    <row r="29" spans="2:13" x14ac:dyDescent="0.25">
      <c r="B29" s="86" t="s">
        <v>270</v>
      </c>
      <c r="C29" s="88">
        <v>14206</v>
      </c>
      <c r="D29" s="69"/>
      <c r="I29" s="49"/>
    </row>
    <row r="30" spans="2:13" x14ac:dyDescent="0.25">
      <c r="B30" s="86" t="s">
        <v>151</v>
      </c>
      <c r="C30" s="88">
        <v>21683</v>
      </c>
      <c r="D30" s="69"/>
      <c r="I30" s="49"/>
    </row>
    <row r="31" spans="2:13" x14ac:dyDescent="0.25">
      <c r="B31" s="86" t="s">
        <v>271</v>
      </c>
      <c r="C31" s="87">
        <v>16515</v>
      </c>
      <c r="D31" s="99"/>
      <c r="H31" s="70"/>
    </row>
    <row r="32" spans="2:13" x14ac:dyDescent="0.25">
      <c r="B32" s="86" t="s">
        <v>152</v>
      </c>
      <c r="C32" s="87">
        <v>21683</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37297.383395217556</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86"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ColWidth="9.140625"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28102.979313206655</v>
      </c>
      <c r="G4" s="183" t="s">
        <v>260</v>
      </c>
      <c r="H4" s="183"/>
      <c r="I4" s="183"/>
      <c r="J4" s="183"/>
      <c r="L4" s="136"/>
      <c r="M4" s="137">
        <v>2018</v>
      </c>
      <c r="N4" s="138">
        <f>_2018_Volume_ADT</f>
        <v>24163</v>
      </c>
      <c r="O4" s="139" t="s">
        <v>85</v>
      </c>
      <c r="P4" s="140">
        <f>MIN(B12,1)</f>
        <v>0.58492828483143477</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30</v>
      </c>
      <c r="D5" s="134" t="s">
        <v>145</v>
      </c>
      <c r="E5" s="135">
        <f>$E$4*'Inputs &amp; Outputs'!$C$12</f>
        <v>75878.044145657972</v>
      </c>
      <c r="G5" s="184" t="s">
        <v>261</v>
      </c>
      <c r="H5" s="184"/>
      <c r="I5" s="184"/>
      <c r="J5" s="143">
        <f>SUMPRODUCT(Possible_Crash_Reductions,'Value of Statistical Life'!E5:E11)</f>
        <v>6835754.4560253164</v>
      </c>
      <c r="L5" s="136"/>
      <c r="M5" s="144">
        <f t="shared" ref="M5:M36" si="1">M4+1</f>
        <v>2019</v>
      </c>
      <c r="N5" s="145">
        <f>N4+(N4*O5)</f>
        <v>24557.635113369808</v>
      </c>
      <c r="O5" s="146">
        <f t="shared" ref="O5:O11" si="2">IF(ISERROR(_2025_2045_Demand_Growth),_2018_2045_Demand_Growth,_2018_2025_Demand_Growth)</f>
        <v>1.633220681909564E-2</v>
      </c>
      <c r="P5" s="147">
        <f t="shared" ref="P5:P11" si="3">P4*(1+IFERROR(_2018_2025_V_C_Growth,_2018_2045_V_C_Growth))</f>
        <v>0.59448145455364065</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19728291.477871072</v>
      </c>
      <c r="L6" s="136"/>
      <c r="M6" s="137">
        <f t="shared" si="1"/>
        <v>2020</v>
      </c>
      <c r="N6" s="145">
        <f t="shared" ref="N6:N36" si="6">N5+(N5*O6)</f>
        <v>24958.715489029248</v>
      </c>
      <c r="O6" s="146">
        <f t="shared" si="2"/>
        <v>1.633220681909564E-2</v>
      </c>
      <c r="P6" s="147">
        <f t="shared" si="3"/>
        <v>0.60419064861952754</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25366.346392335039</v>
      </c>
      <c r="O7" s="146">
        <f t="shared" si="2"/>
        <v>1.633220681909564E-2</v>
      </c>
      <c r="P7" s="147">
        <f t="shared" si="3"/>
        <v>0.61405841525094518</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25780.634807859475</v>
      </c>
      <c r="O8" s="146">
        <f t="shared" si="2"/>
        <v>1.633220681909564E-2</v>
      </c>
      <c r="P8" s="147">
        <f t="shared" si="3"/>
        <v>0.62408734428782975</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1.633220681909564E-2</v>
      </c>
      <c r="D9" s="152" t="s">
        <v>137</v>
      </c>
      <c r="E9" s="154">
        <f>IF('Inputs &amp; Outputs'!$C$8='CRASH RATES'!$D$3, VLOOKUP('Inputs &amp; Outputs'!$C$7,'CRASH RATES'!$C$14:$J$21,3,FALSE), VLOOKUP('Inputs &amp; Outputs'!$C$7,'CRASH RATES'!$C$28:$J$35,3,FALSE))</f>
        <v>1.7455741549787349</v>
      </c>
      <c r="F9" s="155"/>
      <c r="L9" s="136"/>
      <c r="M9" s="144">
        <f t="shared" si="1"/>
        <v>2023</v>
      </c>
      <c r="N9" s="145">
        <f t="shared" si="6"/>
        <v>26201.689467469012</v>
      </c>
      <c r="O9" s="146">
        <f t="shared" si="2"/>
        <v>1.633220681909564E-2</v>
      </c>
      <c r="P9" s="147">
        <f t="shared" si="3"/>
        <v>0.63428006786791868</v>
      </c>
      <c r="Q9" s="148">
        <f t="shared" si="4"/>
        <v>1</v>
      </c>
      <c r="R9" s="37">
        <f>IF(M9=Year_Open_to_Traffic?,Calculations!$J$5,Calculations!R8+(Calculations!R8*Calculations!O9*Q9))</f>
        <v>0</v>
      </c>
      <c r="S9" s="54">
        <f t="shared" si="0"/>
        <v>0</v>
      </c>
      <c r="T9" s="37">
        <f t="shared" si="5"/>
        <v>0</v>
      </c>
      <c r="U9" s="142">
        <f>T9/(1+Real_Discount_Rate)^(Calculations!M9-'Assumed Values'!$C$5)</f>
        <v>0</v>
      </c>
    </row>
    <row r="10" spans="1:21" ht="15.75" x14ac:dyDescent="0.25">
      <c r="A10" s="152" t="s">
        <v>106</v>
      </c>
      <c r="B10" s="153">
        <f>(_2045_Peak_Period_Volume/_2025_Peak_Period_Volume)^(1/(2045-2025))-1</f>
        <v>7.5586559138516307E-3</v>
      </c>
      <c r="D10" s="152" t="s">
        <v>138</v>
      </c>
      <c r="E10" s="154">
        <f>IF('Inputs &amp; Outputs'!$C$8='CRASH RATES'!$D$3, VLOOKUP('Inputs &amp; Outputs'!$C$7,'CRASH RATES'!$C$14:$J$21,4,FALSE), VLOOKUP('Inputs &amp; Outputs'!$C$7,'CRASH RATES'!$C$28:$J$35,4,FALSE))</f>
        <v>8.8235958091989612</v>
      </c>
      <c r="F10" s="155"/>
      <c r="L10" s="136"/>
      <c r="M10" s="137">
        <f t="shared" si="1"/>
        <v>2024</v>
      </c>
      <c r="N10" s="145">
        <f t="shared" si="6"/>
        <v>26629.620878861435</v>
      </c>
      <c r="O10" s="146">
        <f t="shared" si="2"/>
        <v>1.633220681909564E-2</v>
      </c>
      <c r="P10" s="147">
        <f t="shared" si="3"/>
        <v>0.64463926111756753</v>
      </c>
      <c r="Q10" s="148">
        <f t="shared" si="4"/>
        <v>1</v>
      </c>
      <c r="R10" s="37">
        <f>IF(M10=Year_Open_to_Traffic?,Calculations!$J$5,Calculations!R9+(Calculations!R9*Calculations!O10*Q10))</f>
        <v>0</v>
      </c>
      <c r="S10" s="54">
        <f t="shared" si="0"/>
        <v>0</v>
      </c>
      <c r="T10" s="37">
        <f t="shared" si="5"/>
        <v>0</v>
      </c>
      <c r="U10" s="142">
        <f>T10/(1+Real_Discount_Rate)^(Calculations!M10-'Assumed Values'!$C$5)</f>
        <v>0</v>
      </c>
    </row>
    <row r="11" spans="1:21" ht="15.75" x14ac:dyDescent="0.25">
      <c r="A11" s="152" t="s">
        <v>107</v>
      </c>
      <c r="B11" s="153">
        <f>(_2045_Peak_Period_Volume/'Inputs &amp; Outputs'!$C$27)^(1/(2045-2018))-1</f>
        <v>9.82598120934286E-3</v>
      </c>
      <c r="D11" s="152" t="s">
        <v>139</v>
      </c>
      <c r="E11" s="154">
        <f>IF('Inputs &amp; Outputs'!$C$8='CRASH RATES'!$D$3, VLOOKUP('Inputs &amp; Outputs'!$C$7,'CRASH RATES'!$C$14:$J$21,5,FALSE), VLOOKUP('Inputs &amp; Outputs'!$C$7,'CRASH RATES'!$C$28:$J$35,5,FALSE))</f>
        <v>49.782648723119337</v>
      </c>
      <c r="F11" s="155"/>
      <c r="L11" s="136"/>
      <c r="M11" s="144">
        <f t="shared" si="1"/>
        <v>2025</v>
      </c>
      <c r="N11" s="145">
        <f t="shared" si="6"/>
        <v>27064.541354569108</v>
      </c>
      <c r="O11" s="146">
        <f t="shared" si="2"/>
        <v>1.633220681909564E-2</v>
      </c>
      <c r="P11" s="147">
        <f t="shared" si="3"/>
        <v>0.65516764285384865</v>
      </c>
      <c r="Q11" s="148">
        <f t="shared" si="4"/>
        <v>1</v>
      </c>
      <c r="R11" s="37">
        <f>IF(M11=Year_Open_to_Traffic?,Calculations!$J$5,Calculations!R10+(Calculations!R10*Calculations!O11*Q11))</f>
        <v>0</v>
      </c>
      <c r="S11" s="54">
        <f t="shared" si="0"/>
        <v>0</v>
      </c>
      <c r="T11" s="37">
        <f t="shared" si="5"/>
        <v>0</v>
      </c>
      <c r="U11" s="142">
        <f>T11/(1+Real_Discount_Rate)^(Calculations!M11-'Assumed Values'!$C$5)</f>
        <v>0</v>
      </c>
    </row>
    <row r="12" spans="1:21" ht="15.75" x14ac:dyDescent="0.25">
      <c r="A12" s="152" t="s">
        <v>75</v>
      </c>
      <c r="B12" s="156">
        <f>'Inputs &amp; Outputs'!C27/_2018_Peak_Period_Capacity</f>
        <v>0.58492828483143477</v>
      </c>
      <c r="D12" s="152" t="s">
        <v>140</v>
      </c>
      <c r="E12" s="154">
        <f>IF('Inputs &amp; Outputs'!$C$8='CRASH RATES'!$D$3, VLOOKUP('Inputs &amp; Outputs'!$C$7,'CRASH RATES'!$C$14:$J$21,6,FALSE), VLOOKUP('Inputs &amp; Outputs'!$C$7,'CRASH RATES'!$C$28:$J$35,6,FALSE))</f>
        <v>124.27924895011503</v>
      </c>
      <c r="F12" s="155"/>
      <c r="L12" s="136"/>
      <c r="M12" s="137">
        <f t="shared" si="1"/>
        <v>2026</v>
      </c>
      <c r="N12" s="145">
        <f t="shared" si="6"/>
        <v>27269.112910134503</v>
      </c>
      <c r="O12" s="146">
        <f t="shared" ref="O12:O36" si="7">IFERROR(_2025_2045_Demand_Growth,_2018_2045_Demand_Growth)</f>
        <v>7.5586559138516307E-3</v>
      </c>
      <c r="P12" s="147">
        <f t="shared" ref="P12:P36" si="8">P11*(1+IFERROR(_2025_2040_V_C_Growth,_2018_2045_V_C_Growth))</f>
        <v>0.66011982963207017</v>
      </c>
      <c r="Q12" s="148">
        <f t="shared" si="4"/>
        <v>1</v>
      </c>
      <c r="R12" s="37">
        <f>IF(M12=Year_Open_to_Traffic?,Calculations!$J$5,Calculations!R11+(Calculations!R11*Calculations!O12*Q12))</f>
        <v>0</v>
      </c>
      <c r="S12" s="54">
        <f t="shared" si="0"/>
        <v>0</v>
      </c>
      <c r="T12" s="37">
        <f t="shared" si="5"/>
        <v>0</v>
      </c>
      <c r="U12" s="142">
        <f>T12/(1+Real_Discount_Rate)^(Calculations!M12-'Assumed Values'!$C$5)</f>
        <v>0</v>
      </c>
    </row>
    <row r="13" spans="1:21" ht="15.75" x14ac:dyDescent="0.25">
      <c r="A13" s="152" t="s">
        <v>74</v>
      </c>
      <c r="B13" s="156">
        <f>_2025_Peak_Period_Volume/_2025_Peak_Period_Capacity</f>
        <v>0.65516764285384865</v>
      </c>
      <c r="D13" s="152" t="s">
        <v>141</v>
      </c>
      <c r="E13" s="154">
        <f>IF('Inputs &amp; Outputs'!$C$8='CRASH RATES'!$D$3, VLOOKUP('Inputs &amp; Outputs'!$C$7,'CRASH RATES'!$C$14:$J$21,7,FALSE), VLOOKUP('Inputs &amp; Outputs'!$C$7,'CRASH RATES'!$C$28:$J$35,7,FALSE))</f>
        <v>963.65828946693784</v>
      </c>
      <c r="F13" s="155"/>
      <c r="L13" s="136"/>
      <c r="M13" s="144">
        <f t="shared" si="1"/>
        <v>2027</v>
      </c>
      <c r="N13" s="145">
        <f t="shared" si="6"/>
        <v>27475.230751698178</v>
      </c>
      <c r="O13" s="146">
        <f t="shared" si="7"/>
        <v>7.5586559138516307E-3</v>
      </c>
      <c r="P13" s="147">
        <f t="shared" si="8"/>
        <v>0.66510944828616936</v>
      </c>
      <c r="Q13" s="148">
        <f t="shared" si="4"/>
        <v>1</v>
      </c>
      <c r="R13" s="37">
        <f>IF(M13=Year_Open_to_Traffic?,Calculations!$J$5,Calculations!R12+(Calculations!R12*Calculations!O13*Q13))</f>
        <v>0</v>
      </c>
      <c r="S13" s="54">
        <f t="shared" si="0"/>
        <v>0</v>
      </c>
      <c r="T13" s="37">
        <f t="shared" si="5"/>
        <v>0</v>
      </c>
      <c r="U13" s="142">
        <f>T13/(1+Real_Discount_Rate)^(Calculations!M13-'Assumed Values'!$C$5)</f>
        <v>0</v>
      </c>
    </row>
    <row r="14" spans="1:21" ht="15.75" x14ac:dyDescent="0.25">
      <c r="A14" s="152" t="s">
        <v>148</v>
      </c>
      <c r="B14" s="156">
        <f>_2045_Peak_Period_Volume/_2045_Peak_Period_Capacity</f>
        <v>0.76165659733431723</v>
      </c>
      <c r="D14" s="152" t="s">
        <v>142</v>
      </c>
      <c r="E14" s="154">
        <f>IF('Inputs &amp; Outputs'!$C$8='CRASH RATES'!$D$3, VLOOKUP('Inputs &amp; Outputs'!$C$7,'CRASH RATES'!$C$14:$J$21,8,FALSE), VLOOKUP('Inputs &amp; Outputs'!$C$7,'CRASH RATES'!$C$28:$J$35,8,FALSE))</f>
        <v>83.618632907852302</v>
      </c>
      <c r="F14" s="155"/>
      <c r="L14" s="136"/>
      <c r="M14" s="137">
        <f>M13+1</f>
        <v>2028</v>
      </c>
      <c r="N14" s="145">
        <f t="shared" si="6"/>
        <v>27682.906567103939</v>
      </c>
      <c r="O14" s="146">
        <f t="shared" si="7"/>
        <v>7.5586559138516307E-3</v>
      </c>
      <c r="P14" s="147">
        <f>P13*(1+IFERROR(_2025_2040_V_C_Growth,_2018_2045_V_C_Growth))</f>
        <v>0.67013678175081626</v>
      </c>
      <c r="Q14" s="148">
        <f t="shared" si="4"/>
        <v>1</v>
      </c>
      <c r="R14" s="37">
        <f>IF(M14=Year_Open_to_Traffic?,Calculations!$J$5,Calculations!R13+(Calculations!R13*Calculations!O14*Q14))</f>
        <v>0</v>
      </c>
      <c r="S14" s="54">
        <f t="shared" si="0"/>
        <v>0</v>
      </c>
      <c r="T14" s="37">
        <f t="shared" si="5"/>
        <v>0</v>
      </c>
      <c r="U14" s="142">
        <f>T14/(1+Real_Discount_Rate)^(Calculations!M14-'Assumed Values'!$C$5)</f>
        <v>0</v>
      </c>
    </row>
    <row r="15" spans="1:21" ht="15.75" x14ac:dyDescent="0.25">
      <c r="A15" s="152" t="s">
        <v>80</v>
      </c>
      <c r="B15" s="153">
        <f>(B13/B12)^(1/(2025-2018))-1</f>
        <v>1.633220681909564E-2</v>
      </c>
      <c r="L15" s="136"/>
      <c r="M15" s="144">
        <f>M14+1</f>
        <v>2029</v>
      </c>
      <c r="N15" s="145">
        <f t="shared" si="6"/>
        <v>27892.152132539981</v>
      </c>
      <c r="O15" s="146">
        <f t="shared" si="7"/>
        <v>7.5586559138516307E-3</v>
      </c>
      <c r="P15" s="147">
        <f>P14*(1+IFERROR(_2025_2040_V_C_Growth,_2018_2045_V_C_Growth))</f>
        <v>0.67520211509928652</v>
      </c>
      <c r="Q15" s="148">
        <f t="shared" si="4"/>
        <v>1</v>
      </c>
      <c r="R15" s="37">
        <f>IF(M15=Year_Open_to_Traffic?,Calculations!$J$5,Calculations!R14+(Calculations!R14*Calculations!O15*Q15))</f>
        <v>0</v>
      </c>
      <c r="S15" s="54">
        <f t="shared" si="0"/>
        <v>0</v>
      </c>
      <c r="T15" s="37">
        <f t="shared" si="5"/>
        <v>0</v>
      </c>
      <c r="U15" s="142">
        <f>T15/(1+Real_Discount_Rate)^(Calculations!M15-'Assumed Values'!$C$5)</f>
        <v>0</v>
      </c>
    </row>
    <row r="16" spans="1:21" ht="15.75" x14ac:dyDescent="0.25">
      <c r="A16" s="152" t="s">
        <v>108</v>
      </c>
      <c r="B16" s="153">
        <f>(B14/B13)^(1/(2045-2025))-1</f>
        <v>7.5586559138516307E-3</v>
      </c>
      <c r="D16" s="157" t="s">
        <v>136</v>
      </c>
      <c r="E16" s="151"/>
      <c r="L16" s="136"/>
      <c r="M16" s="137">
        <f t="shared" si="1"/>
        <v>2030</v>
      </c>
      <c r="N16" s="145">
        <f t="shared" si="6"/>
        <v>28102.979313206655</v>
      </c>
      <c r="O16" s="146">
        <f t="shared" si="7"/>
        <v>7.5586559138516307E-3</v>
      </c>
      <c r="P16" s="147">
        <f t="shared" si="8"/>
        <v>0.68030573555962681</v>
      </c>
      <c r="Q16" s="148">
        <f t="shared" si="4"/>
        <v>1</v>
      </c>
      <c r="R16" s="37">
        <f>IF(M16=Year_Open_to_Traffic?,Calculations!$J$5,Calculations!R15+(Calculations!R15*Calculations!O16*Q16))</f>
        <v>6835754.4560253164</v>
      </c>
      <c r="S16" s="54">
        <f t="shared" si="0"/>
        <v>1</v>
      </c>
      <c r="T16" s="37">
        <f t="shared" si="5"/>
        <v>6835.7544560253164</v>
      </c>
      <c r="U16" s="142">
        <f>T16/(1+Real_Discount_Rate)^(Calculations!M16-'Assumed Values'!$C$5)</f>
        <v>3035.1567289083873</v>
      </c>
    </row>
    <row r="17" spans="1:21" ht="15.75" x14ac:dyDescent="0.25">
      <c r="A17" s="152" t="s">
        <v>109</v>
      </c>
      <c r="B17" s="153">
        <f>(B14/B12)^(1/(2045-2018))-1</f>
        <v>9.82598120934286E-3</v>
      </c>
      <c r="D17" s="152" t="s">
        <v>89</v>
      </c>
      <c r="E17" s="158">
        <f>($E$6*Death_Rate)/100000000</f>
        <v>0.34437195725658976</v>
      </c>
      <c r="L17" s="136"/>
      <c r="M17" s="144">
        <f t="shared" si="1"/>
        <v>2031</v>
      </c>
      <c r="N17" s="145">
        <f t="shared" si="6"/>
        <v>28315.400063989277</v>
      </c>
      <c r="O17" s="146">
        <f t="shared" si="7"/>
        <v>7.5586559138516307E-3</v>
      </c>
      <c r="P17" s="147">
        <f t="shared" si="8"/>
        <v>0.68544793253094172</v>
      </c>
      <c r="Q17" s="148">
        <f t="shared" si="4"/>
        <v>1</v>
      </c>
      <c r="R17" s="37">
        <f>IF(M17=Year_Open_to_Traffic?,Calculations!$J$5,Calculations!R16+(Calculations!R16*Calculations!O17*Q17))</f>
        <v>6887423.5718699899</v>
      </c>
      <c r="S17" s="54">
        <f t="shared" si="0"/>
        <v>1</v>
      </c>
      <c r="T17" s="37">
        <f t="shared" si="5"/>
        <v>6887.4235718699902</v>
      </c>
      <c r="U17" s="142">
        <f>T17/(1+Real_Discount_Rate)^(Calculations!M17-'Assumed Values'!$C$5)</f>
        <v>2858.03591987553</v>
      </c>
    </row>
    <row r="18" spans="1:21" ht="15.75" x14ac:dyDescent="0.25">
      <c r="D18" s="152" t="s">
        <v>94</v>
      </c>
      <c r="E18" s="158">
        <f>($E$6*Incap_Injry_Rate)/100000000</f>
        <v>1.7407447000679876</v>
      </c>
      <c r="L18" s="136"/>
      <c r="M18" s="137">
        <f t="shared" si="1"/>
        <v>2032</v>
      </c>
      <c r="N18" s="145">
        <f t="shared" si="6"/>
        <v>28529.426430136024</v>
      </c>
      <c r="O18" s="146">
        <f t="shared" si="7"/>
        <v>7.5586559138516307E-3</v>
      </c>
      <c r="P18" s="147">
        <f t="shared" si="8"/>
        <v>0.69062899759980412</v>
      </c>
      <c r="Q18" s="148">
        <f t="shared" si="4"/>
        <v>1</v>
      </c>
      <c r="R18" s="37">
        <f>IF(M18=Year_Open_to_Traffic?,Calculations!$J$5,Calculations!R17+(Calculations!R17*Calculations!O18*Q18))</f>
        <v>6939483.2367827063</v>
      </c>
      <c r="S18" s="54">
        <f t="shared" si="0"/>
        <v>1</v>
      </c>
      <c r="T18" s="37">
        <f t="shared" si="5"/>
        <v>6939.4832367827066</v>
      </c>
      <c r="U18" s="142">
        <f>T18/(1+Real_Discount_Rate)^(Calculations!M18-'Assumed Values'!$C$5)</f>
        <v>2691.251242975045</v>
      </c>
    </row>
    <row r="19" spans="1:21" ht="15.75" x14ac:dyDescent="0.25">
      <c r="D19" s="152" t="s">
        <v>93</v>
      </c>
      <c r="E19" s="158">
        <f>($E$6*Nonincap_Injry_Rate)/100000000</f>
        <v>9.8212660455016429</v>
      </c>
      <c r="L19" s="136"/>
      <c r="M19" s="144">
        <f t="shared" si="1"/>
        <v>2033</v>
      </c>
      <c r="N19" s="145">
        <f t="shared" si="6"/>
        <v>28745.070547940966</v>
      </c>
      <c r="O19" s="146">
        <f t="shared" si="7"/>
        <v>7.5586559138516307E-3</v>
      </c>
      <c r="P19" s="147">
        <f t="shared" si="8"/>
        <v>0.69584922455678933</v>
      </c>
      <c r="Q19" s="148">
        <f t="shared" si="4"/>
        <v>1</v>
      </c>
      <c r="R19" s="37">
        <f>IF(M19=Year_Open_to_Traffic?,Calculations!$J$5,Calculations!R18+(Calculations!R18*Calculations!O19*Q19))</f>
        <v>6991936.4027894884</v>
      </c>
      <c r="S19" s="54">
        <f t="shared" si="0"/>
        <v>1</v>
      </c>
      <c r="T19" s="37">
        <f t="shared" si="5"/>
        <v>6991.9364027894881</v>
      </c>
      <c r="U19" s="142">
        <f>T19/(1+Real_Discount_Rate)^(Calculations!M19-'Assumed Values'!$C$5)</f>
        <v>2534.1995187835682</v>
      </c>
    </row>
    <row r="20" spans="1:21" ht="15.75" x14ac:dyDescent="0.25">
      <c r="D20" s="152" t="s">
        <v>92</v>
      </c>
      <c r="E20" s="158">
        <f>($E$6*Poss_Injry_Rate/100000000)</f>
        <v>24.518172479387719</v>
      </c>
      <c r="L20" s="136"/>
      <c r="M20" s="137">
        <f t="shared" si="1"/>
        <v>2034</v>
      </c>
      <c r="N20" s="145">
        <f t="shared" si="6"/>
        <v>28962.344645432244</v>
      </c>
      <c r="O20" s="146">
        <f t="shared" si="7"/>
        <v>7.5586559138516307E-3</v>
      </c>
      <c r="P20" s="147">
        <f t="shared" si="8"/>
        <v>0.70110890941313453</v>
      </c>
      <c r="Q20" s="148">
        <f t="shared" si="4"/>
        <v>1</v>
      </c>
      <c r="R20" s="37">
        <f>IF(M20=Year_Open_to_Traffic?,Calculations!$J$5,Calculations!R19+(Calculations!R19*Calculations!O20*Q20))</f>
        <v>7044786.0442297077</v>
      </c>
      <c r="S20" s="54">
        <f t="shared" si="0"/>
        <v>1</v>
      </c>
      <c r="T20" s="37">
        <f t="shared" si="5"/>
        <v>7044.7860442297078</v>
      </c>
      <c r="U20" s="142">
        <f>T20/(1+Real_Discount_Rate)^(Calculations!M20-'Assumed Values'!$C$5)</f>
        <v>2386.3127672552359</v>
      </c>
    </row>
    <row r="21" spans="1:21" ht="15.75" x14ac:dyDescent="0.25">
      <c r="D21" s="152" t="s">
        <v>91</v>
      </c>
      <c r="E21" s="158">
        <f>($E$6*Non_Injry_Rate)/100000000</f>
        <v>190.11331619670403</v>
      </c>
      <c r="L21" s="136"/>
      <c r="M21" s="144">
        <f>M20+1</f>
        <v>2035</v>
      </c>
      <c r="N21" s="145">
        <f t="shared" si="6"/>
        <v>29181.261043065449</v>
      </c>
      <c r="O21" s="146">
        <f t="shared" si="7"/>
        <v>7.5586559138516307E-3</v>
      </c>
      <c r="P21" s="147">
        <f>P20*(1+IFERROR(_2025_2040_V_C_Growth,_2018_2045_V_C_Growth))</f>
        <v>0.70640835041752414</v>
      </c>
      <c r="Q21" s="148">
        <f t="shared" si="4"/>
        <v>1</v>
      </c>
      <c r="R21" s="37">
        <f>IF(M21=Year_Open_to_Traffic?,Calculations!$J$5,Calculations!R20+(Calculations!R20*Calculations!O21*Q21))</f>
        <v>7098035.1579247443</v>
      </c>
      <c r="S21" s="54">
        <f t="shared" si="0"/>
        <v>1</v>
      </c>
      <c r="T21" s="37">
        <f t="shared" si="5"/>
        <v>7098.0351579247445</v>
      </c>
      <c r="U21" s="142">
        <f>T21/(1+Real_Discount_Rate)^(Calculations!M21-'Assumed Values'!$C$5)</f>
        <v>2247.0561536128498</v>
      </c>
    </row>
    <row r="22" spans="1:21" ht="15.75" x14ac:dyDescent="0.25">
      <c r="D22" s="152" t="s">
        <v>90</v>
      </c>
      <c r="E22" s="158">
        <f>($E$6*Unkn_Injry_Rate)/100000000</f>
        <v>16.496527629872123</v>
      </c>
      <c r="L22" s="136"/>
      <c r="M22" s="137">
        <f>M21+1</f>
        <v>2036</v>
      </c>
      <c r="N22" s="145">
        <f t="shared" si="6"/>
        <v>29401.832154422264</v>
      </c>
      <c r="O22" s="146">
        <f t="shared" si="7"/>
        <v>7.5586559138516307E-3</v>
      </c>
      <c r="P22" s="147">
        <f t="shared" si="8"/>
        <v>0.71174784807300173</v>
      </c>
      <c r="Q22" s="148">
        <f t="shared" si="4"/>
        <v>1</v>
      </c>
      <c r="R22" s="37">
        <f>IF(M22=Year_Open_to_Traffic?,Calculations!$J$5,Calculations!R21+(Calculations!R21*Calculations!O22*Q22))</f>
        <v>7151686.7633479191</v>
      </c>
      <c r="S22" s="54">
        <f t="shared" si="0"/>
        <v>1</v>
      </c>
      <c r="T22" s="37">
        <f t="shared" si="5"/>
        <v>7151.6867633479187</v>
      </c>
      <c r="U22" s="142">
        <f>T22/(1+Real_Discount_Rate)^(Calculations!M22-'Assumed Values'!$C$5)</f>
        <v>2115.9260541094504</v>
      </c>
    </row>
    <row r="23" spans="1:21" ht="15.75" x14ac:dyDescent="0.25">
      <c r="L23" s="136"/>
      <c r="M23" s="144">
        <f t="shared" si="1"/>
        <v>2037</v>
      </c>
      <c r="N23" s="145">
        <f t="shared" si="6"/>
        <v>29624.070486914359</v>
      </c>
      <c r="O23" s="146">
        <f t="shared" si="7"/>
        <v>7.5586559138516307E-3</v>
      </c>
      <c r="P23" s="147">
        <f t="shared" si="8"/>
        <v>0.71712770515400992</v>
      </c>
      <c r="Q23" s="148">
        <f t="shared" si="4"/>
        <v>1</v>
      </c>
      <c r="R23" s="37">
        <f>IF(M23=Year_Open_to_Traffic?,Calculations!$J$5,Calculations!R22+(Calculations!R22*Calculations!O23*Q23))</f>
        <v>7205743.9027957134</v>
      </c>
      <c r="S23" s="54">
        <f t="shared" si="0"/>
        <v>1</v>
      </c>
      <c r="T23" s="37">
        <f t="shared" si="5"/>
        <v>7205.7439027957134</v>
      </c>
      <c r="U23" s="142">
        <f>T23/(1+Real_Discount_Rate)^(Calculations!M23-'Assumed Values'!$C$5)</f>
        <v>1992.4482346650634</v>
      </c>
    </row>
    <row r="24" spans="1:21" ht="15.75" x14ac:dyDescent="0.25">
      <c r="L24" s="136"/>
      <c r="M24" s="137">
        <f t="shared" si="1"/>
        <v>2038</v>
      </c>
      <c r="N24" s="145">
        <f t="shared" si="6"/>
        <v>29847.988642492634</v>
      </c>
      <c r="O24" s="146">
        <f t="shared" si="7"/>
        <v>7.5586559138516307E-3</v>
      </c>
      <c r="P24" s="147">
        <f t="shared" si="8"/>
        <v>0.72254822672355912</v>
      </c>
      <c r="Q24" s="148">
        <f t="shared" si="4"/>
        <v>1</v>
      </c>
      <c r="R24" s="37">
        <f>IF(M24=Year_Open_to_Traffic?,Calculations!$J$5,Calculations!R23+(Calculations!R23*Calculations!O24*Q24))</f>
        <v>7260209.6415602807</v>
      </c>
      <c r="S24" s="54">
        <f t="shared" si="0"/>
        <v>1</v>
      </c>
      <c r="T24" s="37">
        <f t="shared" si="5"/>
        <v>7260.2096415602809</v>
      </c>
      <c r="U24" s="142">
        <f>T24/(1+Real_Discount_Rate)^(Calculations!M24-'Assumed Values'!$C$5)</f>
        <v>1876.176135791643</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30073.599318361787</v>
      </c>
      <c r="O25" s="146">
        <f t="shared" si="7"/>
        <v>7.5586559138516307E-3</v>
      </c>
      <c r="P25" s="147">
        <f t="shared" si="8"/>
        <v>0.72800972015052612</v>
      </c>
      <c r="Q25" s="148">
        <f t="shared" si="4"/>
        <v>1</v>
      </c>
      <c r="R25" s="37">
        <f>IF(M25=Year_Open_to_Traffic?,Calculations!$J$5,Calculations!R24+(Calculations!R24*Calculations!O25*Q25))</f>
        <v>7315087.0681032632</v>
      </c>
      <c r="S25" s="54">
        <f t="shared" si="0"/>
        <v>1</v>
      </c>
      <c r="T25" s="37">
        <f t="shared" si="5"/>
        <v>7315.0870681032629</v>
      </c>
      <c r="U25" s="142">
        <f>T25/(1+Real_Discount_Rate)^(Calculations!M25-'Assumed Values'!$C$5)</f>
        <v>1766.6892576036182</v>
      </c>
    </row>
    <row r="26" spans="1:21" ht="15.75" x14ac:dyDescent="0.25">
      <c r="A26" s="181"/>
      <c r="B26" s="181"/>
      <c r="D26" s="160">
        <f>Calculations!E17</f>
        <v>0.34437195725658976</v>
      </c>
      <c r="E26" s="160">
        <f>Calculations!E18</f>
        <v>1.7407447000679876</v>
      </c>
      <c r="F26" s="160">
        <f>Calculations!E19</f>
        <v>9.8212660455016429</v>
      </c>
      <c r="G26" s="160">
        <f>Calculations!E20</f>
        <v>24.518172479387719</v>
      </c>
      <c r="H26" s="160">
        <f>Calculations!E21</f>
        <v>190.11331619670403</v>
      </c>
      <c r="I26" s="160">
        <f>Calculations!E22</f>
        <v>16.496527629872123</v>
      </c>
      <c r="J26" s="182"/>
      <c r="L26" s="136"/>
      <c r="M26" s="137">
        <f t="shared" si="1"/>
        <v>2040</v>
      </c>
      <c r="N26" s="145">
        <f t="shared" si="6"/>
        <v>30300.915307700325</v>
      </c>
      <c r="O26" s="146">
        <f t="shared" si="7"/>
        <v>7.5586559138516307E-3</v>
      </c>
      <c r="P26" s="147">
        <f t="shared" si="8"/>
        <v>0.73351249512708339</v>
      </c>
      <c r="Q26" s="148">
        <f t="shared" si="4"/>
        <v>1</v>
      </c>
      <c r="R26" s="37">
        <f>IF(M26=Year_Open_to_Traffic?,Calculations!$J$5,Calculations!R25+(Calculations!R25*Calculations!O26*Q26))</f>
        <v>7370379.2942309212</v>
      </c>
      <c r="S26" s="54">
        <f t="shared" si="0"/>
        <v>1</v>
      </c>
      <c r="T26" s="37">
        <f t="shared" si="5"/>
        <v>7370.379294230921</v>
      </c>
      <c r="U26" s="142">
        <f>T26/(1+Real_Discount_Rate)^(Calculations!M26-'Assumed Values'!$C$5)</f>
        <v>1663.5916390734037</v>
      </c>
    </row>
    <row r="27" spans="1:21" ht="15.75" x14ac:dyDescent="0.25">
      <c r="A27" s="161" t="s">
        <v>95</v>
      </c>
      <c r="B27" s="162" t="s">
        <v>96</v>
      </c>
      <c r="D27" s="163">
        <f>D$26*'Value of Statistical Life'!D17*Appropriate_Crash_Reduction_Factor</f>
        <v>0</v>
      </c>
      <c r="E27" s="163">
        <f>E$26*'Value of Statistical Life'!E17*Appropriate_Crash_Reduction_Factor</f>
        <v>3.8889106971868877E-2</v>
      </c>
      <c r="F27" s="163">
        <f>F$26*'Value of Statistical Life'!F17*Appropriate_Crash_Reduction_Factor</f>
        <v>0.53285769993171439</v>
      </c>
      <c r="G27" s="163">
        <f>G$26*'Value of Statistical Life'!G17*Appropriate_Crash_Reduction_Factor</f>
        <v>3.7351106545961645</v>
      </c>
      <c r="H27" s="163">
        <f>H$26*'Value of Statistical Life'!H17*Appropriate_Crash_Reduction_Factor</f>
        <v>114.34764640614777</v>
      </c>
      <c r="I27" s="163">
        <f>I$26*'Value of Statistical Life'!I17*Appropriate_Crash_Reduction_Factor</f>
        <v>4.6832652149549165</v>
      </c>
      <c r="J27" s="163">
        <f t="shared" ref="J27:J33" si="9">SUM(D27:I27)</f>
        <v>123.33776908260243</v>
      </c>
      <c r="K27" s="164"/>
      <c r="L27" s="136"/>
      <c r="M27" s="144">
        <f t="shared" si="1"/>
        <v>2041</v>
      </c>
      <c r="N27" s="145">
        <f t="shared" si="6"/>
        <v>30529.949500385992</v>
      </c>
      <c r="O27" s="146">
        <f t="shared" si="7"/>
        <v>7.5586559138516307E-3</v>
      </c>
      <c r="P27" s="147">
        <f t="shared" si="8"/>
        <v>0.73905686368625978</v>
      </c>
      <c r="Q27" s="148">
        <f t="shared" si="4"/>
        <v>1</v>
      </c>
      <c r="R27" s="37">
        <f>IF(M27=Year_Open_to_Traffic?,Calculations!$J$5,Calculations!R26+(Calculations!R26*Calculations!O27*Q27))</f>
        <v>7426089.4552705893</v>
      </c>
      <c r="S27" s="54">
        <f t="shared" si="0"/>
        <v>1</v>
      </c>
      <c r="T27" s="37">
        <f t="shared" si="5"/>
        <v>7426.0894552705895</v>
      </c>
      <c r="U27" s="142">
        <f>T27/(1+Real_Discount_Rate)^(Calculations!M27-'Assumed Values'!$C$5)</f>
        <v>1566.5104260320747</v>
      </c>
    </row>
    <row r="28" spans="1:21" ht="15.75" x14ac:dyDescent="0.25">
      <c r="A28" s="161" t="s">
        <v>61</v>
      </c>
      <c r="B28" s="165" t="s">
        <v>62</v>
      </c>
      <c r="D28" s="163">
        <f>D$26*'Value of Statistical Life'!D18*Appropriate_Crash_Reduction_Factor</f>
        <v>0</v>
      </c>
      <c r="E28" s="163">
        <f>E$26*'Value of Statistical Life'!E18*Appropriate_Crash_Reduction_Factor</f>
        <v>0.62739659368145406</v>
      </c>
      <c r="F28" s="163">
        <f>F$26*'Value of Statistical Life'!F18*Appropriate_Crash_Reduction_Factor</f>
        <v>4.9055210537741383</v>
      </c>
      <c r="G28" s="163">
        <f>G$26*'Value of Statistical Life'!G18*Appropriate_Crash_Reduction_Factor</f>
        <v>10.987794478465126</v>
      </c>
      <c r="H28" s="163">
        <f>H$26*'Value of Statistical Life'!H18*Appropriate_Crash_Reduction_Factor</f>
        <v>8.9677401816566267</v>
      </c>
      <c r="I28" s="163">
        <f>I$26*'Value of Statistical Life'!I18*Appropriate_Crash_Reduction_Factor</f>
        <v>4.4755656838310118</v>
      </c>
      <c r="J28" s="163">
        <f t="shared" si="9"/>
        <v>29.964017991408355</v>
      </c>
      <c r="K28" s="164"/>
      <c r="L28" s="136"/>
      <c r="M28" s="137">
        <f t="shared" si="1"/>
        <v>2042</v>
      </c>
      <c r="N28" s="145">
        <f t="shared" si="6"/>
        <v>30760.714883726676</v>
      </c>
      <c r="O28" s="146">
        <f t="shared" si="7"/>
        <v>7.5586559138516307E-3</v>
      </c>
      <c r="P28" s="147">
        <f t="shared" si="8"/>
        <v>0.74464314021963451</v>
      </c>
      <c r="Q28" s="148">
        <f t="shared" si="4"/>
        <v>1</v>
      </c>
      <c r="R28" s="37">
        <f>IF(M28=Year_Open_to_Traffic?,Calculations!$J$5,Calculations!R27+(Calculations!R27*Calculations!O28*Q28))</f>
        <v>7482220.7102484619</v>
      </c>
      <c r="S28" s="54">
        <f t="shared" si="0"/>
        <v>1</v>
      </c>
      <c r="T28" s="37">
        <f t="shared" si="5"/>
        <v>7482.2207102484617</v>
      </c>
      <c r="U28" s="142">
        <f>T28/(1+Real_Discount_Rate)^(Calculations!M28-'Assumed Values'!$C$5)</f>
        <v>1475.0945227363666</v>
      </c>
    </row>
    <row r="29" spans="1:21" ht="15.75" x14ac:dyDescent="0.25">
      <c r="A29" s="161" t="s">
        <v>63</v>
      </c>
      <c r="B29" s="165" t="s">
        <v>64</v>
      </c>
      <c r="D29" s="163">
        <f>D$26*'Value of Statistical Life'!D19*Appropriate_Crash_Reduction_Factor</f>
        <v>0</v>
      </c>
      <c r="E29" s="163">
        <f>E$26*'Value of Statistical Life'!E19*Appropriate_Crash_Reduction_Factor</f>
        <v>0.23657068622863967</v>
      </c>
      <c r="F29" s="163">
        <f>F$26*'Value of Statistical Life'!F19*Appropriate_Crash_Reduction_Factor</f>
        <v>0.69570902286519987</v>
      </c>
      <c r="G29" s="163">
        <f>G$26*'Value of Statistical Life'!G19*Appropriate_Crash_Reduction_Factor</f>
        <v>1.0185216620524848</v>
      </c>
      <c r="H29" s="163">
        <f>H$26*'Value of Statistical Life'!H19*Appropriate_Crash_Reduction_Factor</f>
        <v>0.2446758379451581</v>
      </c>
      <c r="I29" s="163">
        <f>I$26*'Value of Statistical Life'!I19*Appropriate_Crash_Reduction_Factor</f>
        <v>0.9513217553594655</v>
      </c>
      <c r="J29" s="163">
        <f t="shared" si="9"/>
        <v>3.146798964450948</v>
      </c>
      <c r="K29" s="164"/>
      <c r="L29" s="136"/>
      <c r="M29" s="144">
        <f t="shared" si="1"/>
        <v>2043</v>
      </c>
      <c r="N29" s="145">
        <f t="shared" si="6"/>
        <v>30993.224543196862</v>
      </c>
      <c r="O29" s="146">
        <f t="shared" si="7"/>
        <v>7.5586559138516307E-3</v>
      </c>
      <c r="P29" s="147">
        <f t="shared" si="8"/>
        <v>0.75027164149516468</v>
      </c>
      <c r="Q29" s="148">
        <f t="shared" si="4"/>
        <v>1</v>
      </c>
      <c r="R29" s="37">
        <f>IF(M29=Year_Open_to_Traffic?,Calculations!$J$5,Calculations!R28+(Calculations!R28*Calculations!O29*Q29))</f>
        <v>7538776.2420687247</v>
      </c>
      <c r="S29" s="54">
        <f t="shared" si="0"/>
        <v>1</v>
      </c>
      <c r="T29" s="37">
        <f t="shared" si="5"/>
        <v>7538.776242068725</v>
      </c>
      <c r="U29" s="142">
        <f>T29/(1+Real_Discount_Rate)^(Calculations!M29-'Assumed Values'!$C$5)</f>
        <v>1389.0133221253627</v>
      </c>
    </row>
    <row r="30" spans="1:21" ht="15.75" x14ac:dyDescent="0.25">
      <c r="A30" s="161" t="s">
        <v>65</v>
      </c>
      <c r="B30" s="165" t="s">
        <v>66</v>
      </c>
      <c r="D30" s="163">
        <f>D$26*'Value of Statistical Life'!D20*Appropriate_Crash_Reduction_Factor</f>
        <v>0</v>
      </c>
      <c r="E30" s="163">
        <f>E$26*'Value of Statistical Life'!E20*Appropriate_Crash_Reduction_Factor</f>
        <v>0.16335235302673001</v>
      </c>
      <c r="F30" s="163">
        <f>F$26*'Value of Statistical Life'!F20*Appropriate_Crash_Reduction_Factor</f>
        <v>0.20370778968277234</v>
      </c>
      <c r="G30" s="163">
        <f>G$26*'Value of Statistical Life'!G20*Appropriate_Crash_Reduction_Factor</f>
        <v>0.17068325771525764</v>
      </c>
      <c r="H30" s="163">
        <f>H$26*'Value of Statistical Life'!H20*Appropriate_Crash_Reduction_Factor</f>
        <v>9.8858924422286099E-3</v>
      </c>
      <c r="I30" s="163">
        <f>I$26*'Value of Statistical Life'!I20*Appropriate_Crash_Reduction_Factor</f>
        <v>0.51651452835511114</v>
      </c>
      <c r="J30" s="163">
        <f t="shared" si="9"/>
        <v>1.0641438212220997</v>
      </c>
      <c r="K30" s="164"/>
      <c r="L30" s="136"/>
      <c r="M30" s="144">
        <f t="shared" si="1"/>
        <v>2044</v>
      </c>
      <c r="N30" s="145">
        <f t="shared" si="6"/>
        <v>31227.49166317963</v>
      </c>
      <c r="O30" s="146">
        <f t="shared" si="7"/>
        <v>7.5586559138516307E-3</v>
      </c>
      <c r="P30" s="147">
        <f t="shared" si="8"/>
        <v>0.7559426866751473</v>
      </c>
      <c r="Q30" s="148">
        <f t="shared" si="4"/>
        <v>1</v>
      </c>
      <c r="R30" s="37">
        <f>IF(M30=Year_Open_to_Traffic?,Calculations!$J$5,Calculations!R29+(Calculations!R29*Calculations!O30*Q30))</f>
        <v>7595759.2576940414</v>
      </c>
      <c r="S30" s="54">
        <f t="shared" si="0"/>
        <v>1</v>
      </c>
      <c r="T30" s="37">
        <f t="shared" si="5"/>
        <v>7595.7592576940415</v>
      </c>
      <c r="U30" s="142">
        <f>T30/(1+Real_Discount_Rate)^(Calculations!M30-'Assumed Values'!$C$5)</f>
        <v>1307.9555101748265</v>
      </c>
    </row>
    <row r="31" spans="1:21" ht="15.75" x14ac:dyDescent="0.25">
      <c r="A31" s="161" t="s">
        <v>67</v>
      </c>
      <c r="B31" s="165" t="s">
        <v>68</v>
      </c>
      <c r="D31" s="163">
        <f>D$26*'Value of Statistical Life'!D21*Appropriate_Crash_Reduction_Factor</f>
        <v>0</v>
      </c>
      <c r="E31" s="163">
        <f>E$26*'Value of Statistical Life'!E21*Appropriate_Crash_Reduction_Factor</f>
        <v>4.5100954434061494E-2</v>
      </c>
      <c r="F31" s="163">
        <f>F$26*'Value of Statistical Life'!F21*Appropriate_Crash_Reduction_Factor</f>
        <v>3.9579702163371623E-2</v>
      </c>
      <c r="G31" s="163">
        <f>G$26*'Value of Statistical Life'!G21*Appropriate_Crash_Reduction_Factor</f>
        <v>2.2630273198474864E-2</v>
      </c>
      <c r="H31" s="163">
        <f>H$26*'Value of Statistical Life'!H21*Appropriate_Crash_Reduction_Factor</f>
        <v>0</v>
      </c>
      <c r="I31" s="163">
        <f>I$26*'Value of Statistical Life'!I21*Appropriate_Crash_Reduction_Factor</f>
        <v>6.6159324059602162E-2</v>
      </c>
      <c r="J31" s="163">
        <f t="shared" si="9"/>
        <v>0.17347025385551015</v>
      </c>
      <c r="K31" s="164"/>
      <c r="L31" s="136"/>
      <c r="M31" s="144">
        <f t="shared" si="1"/>
        <v>2045</v>
      </c>
      <c r="N31" s="145">
        <f t="shared" si="6"/>
        <v>31463.529527714276</v>
      </c>
      <c r="O31" s="146">
        <f t="shared" si="7"/>
        <v>7.5586559138516307E-3</v>
      </c>
      <c r="P31" s="147">
        <f t="shared" si="8"/>
        <v>0.76165659733431734</v>
      </c>
      <c r="Q31" s="148">
        <f t="shared" si="4"/>
        <v>1</v>
      </c>
      <c r="R31" s="37">
        <f>IF(M31=Year_Open_to_Traffic?,Calculations!$J$5,Calculations!R30+(Calculations!R30*Calculations!O31*Q31))</f>
        <v>7653172.9883274036</v>
      </c>
      <c r="S31" s="54">
        <f t="shared" si="0"/>
        <v>1</v>
      </c>
      <c r="T31" s="37">
        <f t="shared" si="5"/>
        <v>7653.1729883274038</v>
      </c>
      <c r="U31" s="142">
        <f>T31/(1+Real_Discount_Rate)^(Calculations!M31-'Assumed Values'!$C$5)</f>
        <v>1231.6279400251065</v>
      </c>
    </row>
    <row r="32" spans="1:21" ht="15.75" x14ac:dyDescent="0.25">
      <c r="A32" s="161" t="s">
        <v>69</v>
      </c>
      <c r="B32" s="165" t="s">
        <v>70</v>
      </c>
      <c r="D32" s="163">
        <f>D$26*'Value of Statistical Life'!D22*Appropriate_Crash_Reduction_Factor</f>
        <v>0</v>
      </c>
      <c r="E32" s="163">
        <f>E$26*'Value of Statistical Life'!E22*Appropriate_Crash_Reduction_Factor</f>
        <v>2.0174360701437941E-2</v>
      </c>
      <c r="F32" s="163">
        <f>F$26*'Value of Statistical Life'!F22*Appropriate_Crash_Reduction_Factor</f>
        <v>6.4476611588718293E-3</v>
      </c>
      <c r="G32" s="163">
        <f>G$26*'Value of Statistical Life'!G22*Appropriate_Crash_Reduction_Factor</f>
        <v>2.0717855745082622E-3</v>
      </c>
      <c r="H32" s="163">
        <f>H$26*'Value of Statistical Life'!H22*Appropriate_Crash_Reduction_Factor</f>
        <v>3.7072096658357289E-3</v>
      </c>
      <c r="I32" s="163">
        <f>I$26*'Value of Statistical Life'!I22*Appropriate_Crash_Reduction_Factor</f>
        <v>2.9916452856773097E-2</v>
      </c>
      <c r="J32" s="163">
        <f t="shared" si="9"/>
        <v>6.231746995742686E-2</v>
      </c>
      <c r="K32" s="164"/>
      <c r="L32" s="136"/>
      <c r="M32" s="144">
        <f t="shared" si="1"/>
        <v>2046</v>
      </c>
      <c r="N32" s="145">
        <f t="shared" si="6"/>
        <v>31701.35152124958</v>
      </c>
      <c r="O32" s="146">
        <f t="shared" si="7"/>
        <v>7.5586559138516307E-3</v>
      </c>
      <c r="P32" s="147">
        <f t="shared" si="8"/>
        <v>0.76741369747808252</v>
      </c>
      <c r="Q32" s="148">
        <f t="shared" si="4"/>
        <v>1</v>
      </c>
      <c r="R32" s="37">
        <f>IF(M32=Year_Open_to_Traffic?,Calculations!$J$5,Calculations!R31+(Calculations!R31*Calculations!O32*Q32))</f>
        <v>7711020.6895953538</v>
      </c>
      <c r="S32" s="54">
        <f t="shared" si="0"/>
        <v>1</v>
      </c>
      <c r="T32" s="37">
        <f t="shared" si="5"/>
        <v>7711.0206895953534</v>
      </c>
      <c r="U32" s="142">
        <f>T32/(1+Real_Discount_Rate)^(Calculations!M32-'Assumed Values'!$C$5)</f>
        <v>1159.7545718108806</v>
      </c>
    </row>
    <row r="33" spans="1:21" ht="15.75" x14ac:dyDescent="0.25">
      <c r="A33" s="161" t="s">
        <v>71</v>
      </c>
      <c r="B33" s="165" t="s">
        <v>272</v>
      </c>
      <c r="D33" s="163">
        <f>D$26*'Value of Statistical Life'!D23*Appropriate_Crash_Reduction_Factor</f>
        <v>0.22384177221678334</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0.22384177221678334</v>
      </c>
      <c r="K33" s="164"/>
      <c r="L33" s="136"/>
      <c r="M33" s="144">
        <f t="shared" si="1"/>
        <v>2047</v>
      </c>
      <c r="N33" s="145">
        <f t="shared" si="6"/>
        <v>31940.971129402762</v>
      </c>
      <c r="O33" s="146">
        <f t="shared" si="7"/>
        <v>7.5586559138516307E-3</v>
      </c>
      <c r="P33" s="147">
        <f t="shared" si="8"/>
        <v>0.77321431356089598</v>
      </c>
      <c r="Q33" s="148">
        <f t="shared" si="4"/>
        <v>1</v>
      </c>
      <c r="R33" s="37">
        <f>IF(M33=Year_Open_to_Traffic?,Calculations!$J$5,Calculations!R32+(Calculations!R32*Calculations!O33*Q33))</f>
        <v>7769305.6417325959</v>
      </c>
      <c r="S33" s="54">
        <f t="shared" si="0"/>
        <v>1</v>
      </c>
      <c r="T33" s="37">
        <f t="shared" si="5"/>
        <v>7769.3056417325961</v>
      </c>
      <c r="U33" s="142">
        <f>T33/(1+Real_Discount_Rate)^(Calculations!M33-'Assumed Values'!$C$5)</f>
        <v>1092.0754743586126</v>
      </c>
    </row>
    <row r="34" spans="1:21" ht="15.75" x14ac:dyDescent="0.25">
      <c r="J34" s="166"/>
      <c r="L34" s="136"/>
      <c r="M34" s="144">
        <f t="shared" si="1"/>
        <v>2048</v>
      </c>
      <c r="N34" s="145">
        <f t="shared" si="6"/>
        <v>32182.401939724186</v>
      </c>
      <c r="O34" s="146">
        <f t="shared" si="7"/>
        <v>7.5586559138516307E-3</v>
      </c>
      <c r="P34" s="147">
        <f t="shared" si="8"/>
        <v>0.77905877450476779</v>
      </c>
      <c r="Q34" s="148">
        <f t="shared" si="4"/>
        <v>1</v>
      </c>
      <c r="R34" s="37">
        <f>IF(M34=Year_Open_to_Traffic?,Calculations!$J$5,Calculations!R33+(Calculations!R33*Calculations!O34*Q34))</f>
        <v>7828031.1497679986</v>
      </c>
      <c r="S34" s="54">
        <f t="shared" si="0"/>
        <v>1</v>
      </c>
      <c r="T34" s="37">
        <f t="shared" si="5"/>
        <v>7828.0311497679986</v>
      </c>
      <c r="U34" s="142">
        <f>T34/(1+Real_Discount_Rate)^(Calculations!M34-'Assumed Values'!$C$5)</f>
        <v>1028.3458851413511</v>
      </c>
    </row>
    <row r="35" spans="1:21" ht="15.75" x14ac:dyDescent="0.25">
      <c r="G35" s="167"/>
      <c r="H35" s="167"/>
      <c r="L35" s="136"/>
      <c r="M35" s="144">
        <f t="shared" si="1"/>
        <v>2049</v>
      </c>
      <c r="N35" s="145">
        <f t="shared" si="6"/>
        <v>32425.657642467831</v>
      </c>
      <c r="O35" s="146">
        <f t="shared" si="7"/>
        <v>7.5586559138516307E-3</v>
      </c>
      <c r="P35" s="147">
        <f t="shared" si="8"/>
        <v>0.78494741171791627</v>
      </c>
      <c r="Q35" s="148">
        <f t="shared" si="4"/>
        <v>1</v>
      </c>
      <c r="R35" s="37">
        <f>IF(M35=Year_Open_to_Traffic?,Calculations!$J$5,Calculations!R34+(Calculations!R34*Calculations!O35*Q35))</f>
        <v>7887200.5437120069</v>
      </c>
      <c r="S35" s="54">
        <f t="shared" si="0"/>
        <v>1</v>
      </c>
      <c r="T35" s="37">
        <f t="shared" si="5"/>
        <v>7887.2005437120069</v>
      </c>
      <c r="U35" s="142">
        <f>T35/(1+Real_Discount_Rate)^(Calculations!M35-'Assumed Values'!$C$5)</f>
        <v>968.33532509117708</v>
      </c>
    </row>
    <row r="36" spans="1:21" ht="15.75" x14ac:dyDescent="0.25">
      <c r="G36" s="167"/>
      <c r="H36" s="167"/>
      <c r="L36" s="136"/>
      <c r="M36" s="144">
        <f t="shared" si="1"/>
        <v>2050</v>
      </c>
      <c r="N36" s="145">
        <f t="shared" si="6"/>
        <v>32670.7520313676</v>
      </c>
      <c r="O36" s="146">
        <f t="shared" si="7"/>
        <v>7.5586559138516307E-3</v>
      </c>
      <c r="P36" s="147">
        <f t="shared" si="8"/>
        <v>0.79088055911356048</v>
      </c>
      <c r="Q36" s="148">
        <f t="shared" si="4"/>
        <v>1</v>
      </c>
      <c r="R36" s="37">
        <f>IF(M36=Year_Open_to_Traffic?,Calculations!$J$5,Calculations!R35+(Calculations!R35*Calculations!O36*Q36))</f>
        <v>7946817.1787454691</v>
      </c>
      <c r="S36" s="54">
        <f t="shared" si="0"/>
        <v>1</v>
      </c>
      <c r="T36" s="37">
        <f t="shared" si="5"/>
        <v>7946.8171787454694</v>
      </c>
      <c r="U36" s="142">
        <f>T36/(1+Real_Discount_Rate)^(Calculations!M36-'Assumed Values'!$C$5)</f>
        <v>911.8267650680084</v>
      </c>
    </row>
    <row r="37" spans="1:21" x14ac:dyDescent="0.25">
      <c r="M37" s="165"/>
      <c r="N37" s="165"/>
      <c r="O37" s="168"/>
      <c r="P37" s="169"/>
      <c r="Q37" s="170"/>
      <c r="R37" s="165"/>
      <c r="S37" s="165"/>
      <c r="T37" s="165"/>
      <c r="U37" s="142">
        <f>SUM(U4:U36)</f>
        <v>37297.383395217556</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pageSetUpPr fitToPage="1"/>
  </sheetPr>
  <dimension ref="B1:F84"/>
  <sheetViews>
    <sheetView topLeftCell="A37" workbookViewId="0">
      <selection activeCell="C60" sqref="C60"/>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pageSetup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Lad, Paresh - HPW</cp:lastModifiedBy>
  <cp:lastPrinted>2018-10-25T19:33:57Z</cp:lastPrinted>
  <dcterms:created xsi:type="dcterms:W3CDTF">2012-07-25T15:48:32Z</dcterms:created>
  <dcterms:modified xsi:type="dcterms:W3CDTF">2018-10-31T22:20:48Z</dcterms:modified>
</cp:coreProperties>
</file>