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37_HW_SH288/"/>
    </mc:Choice>
  </mc:AlternateContent>
  <xr:revisionPtr revIDLastSave="0" documentId="10_ncr:100000_{C75D9924-0B2C-4E2D-9275-B789AC6F17DF}" xr6:coauthVersionLast="31" xr6:coauthVersionMax="40" xr10:uidLastSave="{00000000-0000-0000-0000-000000000000}"/>
  <bookViews>
    <workbookView xWindow="0" yWindow="0" windowWidth="21570" windowHeight="1021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17"/>
</workbook>
</file>

<file path=xl/calcChain.xml><?xml version="1.0" encoding="utf-8"?>
<calcChain xmlns="http://schemas.openxmlformats.org/spreadsheetml/2006/main">
  <c r="G8" i="11" l="1"/>
  <c r="F8" i="11"/>
  <c r="J4" i="12"/>
  <c r="B7" i="12"/>
  <c r="F9" i="11"/>
  <c r="B6" i="12"/>
  <c r="B5" i="12"/>
  <c r="B4" i="12"/>
  <c r="G9" i="11"/>
  <c r="K4" i="12" s="1"/>
  <c r="F4" i="12" s="1"/>
  <c r="B10" i="12"/>
  <c r="B8" i="12"/>
  <c r="B9" i="12"/>
  <c r="E4" i="12"/>
  <c r="I4" i="12"/>
  <c r="B18" i="5"/>
  <c r="E17" i="5"/>
  <c r="B19" i="5"/>
  <c r="E18" i="5"/>
  <c r="G4" i="7"/>
  <c r="H4" i="7"/>
  <c r="G4" i="5"/>
  <c r="G5" i="5"/>
  <c r="G6" i="5"/>
  <c r="G7" i="5"/>
  <c r="G8" i="5"/>
  <c r="G9" i="5"/>
  <c r="G10" i="5"/>
  <c r="G11" i="5"/>
  <c r="G12" i="5"/>
  <c r="G13" i="5"/>
  <c r="G14" i="5"/>
  <c r="B18" i="7"/>
  <c r="B17" i="7"/>
  <c r="B16" i="7"/>
  <c r="E17" i="7"/>
  <c r="I4" i="7"/>
  <c r="G5" i="7"/>
  <c r="H5" i="7"/>
  <c r="B21" i="5"/>
  <c r="J14" i="5"/>
  <c r="H14" i="5"/>
  <c r="G15" i="5"/>
  <c r="H10" i="5"/>
  <c r="H6" i="5"/>
  <c r="H11" i="5"/>
  <c r="B20" i="5"/>
  <c r="J5" i="5"/>
  <c r="J13" i="5"/>
  <c r="J11" i="5"/>
  <c r="J10" i="5"/>
  <c r="J9" i="5"/>
  <c r="J4" i="5"/>
  <c r="J12" i="5"/>
  <c r="J8" i="5"/>
  <c r="J7" i="5"/>
  <c r="J6" i="5"/>
  <c r="H12" i="5"/>
  <c r="H4" i="5"/>
  <c r="H13" i="5"/>
  <c r="H5" i="5"/>
  <c r="H7" i="5"/>
  <c r="H8" i="5"/>
  <c r="H9" i="5"/>
  <c r="I5" i="7"/>
  <c r="G6" i="7"/>
  <c r="G7" i="7"/>
  <c r="K5" i="5"/>
  <c r="K10" i="5"/>
  <c r="K4" i="5"/>
  <c r="K11" i="5"/>
  <c r="K7" i="5"/>
  <c r="K8" i="5"/>
  <c r="K12" i="5"/>
  <c r="K9" i="5"/>
  <c r="K6" i="5"/>
  <c r="K13" i="5"/>
  <c r="K14" i="5"/>
  <c r="H15" i="5"/>
  <c r="G16" i="5"/>
  <c r="J15" i="5"/>
  <c r="K15" i="5"/>
  <c r="I13" i="5"/>
  <c r="I7" i="5"/>
  <c r="I8" i="5"/>
  <c r="I10" i="5"/>
  <c r="I9" i="5"/>
  <c r="I14" i="5"/>
  <c r="I12" i="5"/>
  <c r="I5" i="5"/>
  <c r="I6" i="5"/>
  <c r="I11" i="5"/>
  <c r="B19" i="7"/>
  <c r="I4" i="5"/>
  <c r="H6" i="7"/>
  <c r="I6" i="7"/>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B11" i="5"/>
  <c r="B12" i="5"/>
  <c r="G25"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F10" i="11" l="1"/>
  <c r="F11" i="11"/>
</calcChain>
</file>

<file path=xl/sharedStrings.xml><?xml version="1.0" encoding="utf-8"?>
<sst xmlns="http://schemas.openxmlformats.org/spreadsheetml/2006/main" count="198" uniqueCount="145">
  <si>
    <t>Instructions:</t>
  </si>
  <si>
    <t>Inputs</t>
  </si>
  <si>
    <t>The following user inputs are needed on the “Inputs &amp; Outputs” tab of the template spreadsheet and are shaded in blue on this tab. These input fields are listed below in the general order that they would be filled in by the user.</t>
  </si>
  <si>
    <t>Input</t>
  </si>
  <si>
    <t>Cell reference</t>
  </si>
  <si>
    <t>Notes</t>
  </si>
  <si>
    <t>Does the project add capacity (lanes)?</t>
  </si>
  <si>
    <t>B10</t>
  </si>
  <si>
    <t>If the project involves increasing road capacity by providing more travel lanes, input “Yes”.</t>
  </si>
  <si>
    <t>Primary Project Type</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</si>
  <si>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</si>
  <si>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</si>
  <si>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Facility Type</t>
  </si>
  <si>
    <t>B12</t>
  </si>
  <si>
    <t>Choose one of the three applicable facility (road) types.</t>
  </si>
  <si>
    <t>Involves access management?</t>
  </si>
  <si>
    <t>B13</t>
  </si>
  <si>
    <t>If the project involves any access management strategies, input “Yes”. Otherwise “No”.</t>
  </si>
  <si>
    <t>If yes, what is the street type</t>
  </si>
  <si>
    <t>B14</t>
  </si>
  <si>
    <t>Input the street (facility) type on which the planned access management strategies would be implemented. Leave blank if not applicable.</t>
  </si>
  <si>
    <t>Note: This input should match input in cell B12.</t>
  </si>
  <si>
    <t>Involves grade separation?</t>
  </si>
  <si>
    <t>B15</t>
  </si>
  <si>
    <t>If the project involves any form of grade separation between intersecting facilities, input “Yes”. Otherwise “No”.</t>
  </si>
  <si>
    <t>Involves installation of ITS infrastructure?</t>
  </si>
  <si>
    <t>B16</t>
  </si>
  <si>
    <t>If the project involves installation of any ITS technology infrastructure, input “Yes”. Otherwise “No”.</t>
  </si>
  <si>
    <t>Do you have a current PTI estimate?</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</si>
  <si>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</si>
  <si>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</si>
  <si>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</si>
  <si>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</si>
  <si>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</si>
  <si>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Source for PTI estimate (please provide reference link)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</si>
  <si>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</si>
  <si>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</si>
  <si>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</si>
  <si>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</si>
  <si>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</si>
  <si>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</si>
  <si>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</si>
  <si>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</si>
  <si>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</si>
  <si>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</si>
  <si>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</si>
  <si>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</si>
  <si>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</si>
  <si>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</si>
  <si>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</si>
  <si>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</si>
  <si>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</si>
  <si>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</si>
  <si>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</si>
  <si>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</si>
  <si>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</si>
  <si>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</si>
  <si>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</si>
  <si>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</si>
  <si>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</si>
  <si>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</si>
  <si>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</si>
  <si>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</si>
  <si>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</si>
  <si>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</si>
  <si>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</si>
  <si>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</si>
  <si>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</si>
  <si>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</si>
  <si>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</si>
  <si>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</si>
  <si>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</si>
  <si>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</si>
  <si>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</si>
  <si>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</si>
  <si>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</si>
  <si>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</si>
  <si>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</si>
  <si>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</si>
  <si>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</si>
  <si>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</si>
  <si>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</si>
  <si>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</si>
  <si>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</si>
  <si>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</si>
  <si>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</si>
  <si>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</si>
  <si>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</si>
  <si>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</si>
  <si>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</si>
  <si>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</si>
  <si>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</si>
  <si>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</si>
  <si>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</si>
  <si>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</si>
  <si>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Project Type</t>
  </si>
  <si>
    <t>Arterial Street Type</t>
  </si>
  <si>
    <t>INPUTS</t>
  </si>
  <si>
    <t>Added capacity</t>
  </si>
  <si>
    <t>Urban freeway</t>
  </si>
  <si>
    <t>Urban principal arterial</t>
  </si>
  <si>
    <t>Yes</t>
  </si>
  <si>
    <t>Access management</t>
  </si>
  <si>
    <t>Other urban street</t>
  </si>
  <si>
    <t>No</t>
  </si>
  <si>
    <t>Daily Travel Demand</t>
  </si>
  <si>
    <t>Before implementation</t>
  </si>
  <si>
    <t>After implementation</t>
  </si>
  <si>
    <t>Grade separation</t>
  </si>
  <si>
    <t>SH 288/CR 48 Grade Separation</t>
  </si>
  <si>
    <t>ADT</t>
  </si>
  <si>
    <t>ITS infrastructure</t>
  </si>
  <si>
    <t>Application ID Number:</t>
  </si>
  <si>
    <t>Number of Lanes</t>
  </si>
  <si>
    <t>Sponsor ID Number (CSJ, etc.):</t>
  </si>
  <si>
    <t>0598-02-112</t>
  </si>
  <si>
    <t>ADT per lane</t>
  </si>
  <si>
    <r>
      <t xml:space="preserve">Year Open to Traffic? </t>
    </r>
    <r>
      <rPr>
        <b/>
        <sz val="11"/>
        <color theme="1"/>
        <rFont val="Calibri"/>
        <family val="2"/>
        <scheme val="minor"/>
      </rPr>
      <t>(Must be &gt;=2021)</t>
    </r>
  </si>
  <si>
    <t>PTI estimate</t>
  </si>
  <si>
    <t>yes</t>
  </si>
  <si>
    <t>Estimated reliability benefit</t>
  </si>
  <si>
    <t>Points</t>
  </si>
  <si>
    <t>If yes, input a value (must be &gt;= 1.0)</t>
  </si>
  <si>
    <t>Calculated Reliability Benefit Based on Input Information</t>
  </si>
  <si>
    <t>Without Project</t>
  </si>
  <si>
    <t>Facility V/C Ratio</t>
  </si>
  <si>
    <t>Planning Time Index No Build</t>
  </si>
  <si>
    <t>Planning Time Index Build</t>
  </si>
  <si>
    <t>Added capacity, urban freeway</t>
  </si>
  <si>
    <t>2018 Planning Time Index</t>
  </si>
  <si>
    <t>Added capacity, urban principal arterial</t>
  </si>
  <si>
    <t>Added capacity, other urban street</t>
  </si>
  <si>
    <t>Access management, urban principal arterial</t>
  </si>
  <si>
    <t>Access management, other urban street</t>
  </si>
  <si>
    <t>ITS Infrastructure</t>
  </si>
  <si>
    <t>Estimated Planning Time Index Equation</t>
  </si>
  <si>
    <t>Urban Freeway</t>
  </si>
  <si>
    <t>1.00822+0.00003696*(ADT Per Lane)</t>
  </si>
  <si>
    <t>Urban Principal Arterial</t>
  </si>
  <si>
    <t>1.18622+0.00003578*(ADT Per Lane)</t>
  </si>
  <si>
    <t>Other Urban Street</t>
  </si>
  <si>
    <t>1.18825+0.00003508*(ADT Per Lane)</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</si>
  <si>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</si>
  <si>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</si>
  <si>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https://policy.tti.tamu.edu/congestion/estimating-congestion-benefits-of-transportation-projects-with-fixit-2-0/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</si>
</sst>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
      <sz val="11"/>
      <color rgb="FF000000"/>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
      <patternFill patternType="solid">
        <fgColor rgb="FFDCE6F1"/>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89">
    <xf numFmtId="0" fontId="0" fillId="0" borderId="0" xfId="0"/>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8" borderId="1" xfId="2" applyNumberFormat="1" applyFont="1" applyFill="1" applyBorder="1" applyAlignment="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8" borderId="1" xfId="0"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2" borderId="0" xfId="0" applyFill="1" applyAlignment="1">
      <alignment horizontal="center" vertical="center"/>
    </xf>
    <xf numFmtId="0" fontId="0" fillId="3" borderId="1" xfId="0"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xf numFmtId="0" fontId="9" fillId="13" borderId="7" xfId="0" applyFont="1" applyFill="1" applyBorder="1"/>
    <xf numFmtId="0" fontId="9" fillId="13" borderId="11" xfId="0" applyFont="1" applyFill="1" applyBorder="1"/>
    <xf numFmtId="0" fontId="9" fillId="0" borderId="0" xfId="0" applyFont="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Alignment="1">
      <alignment horizontal="center"/>
    </xf>
    <xf numFmtId="2" fontId="0" fillId="0" borderId="0" xfId="3" applyNumberFormat="1" applyFont="1" applyAlignment="1">
      <alignment horizontal="center"/>
    </xf>
    <xf numFmtId="2" fontId="0" fillId="0" borderId="0" xfId="0" applyNumberFormat="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1"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43" fontId="0" fillId="5" borderId="2" xfId="1" applyFont="1" applyFill="1" applyBorder="1" applyAlignment="1">
      <alignment horizontal="right" vertical="center"/>
    </xf>
    <xf numFmtId="43" fontId="0" fillId="5" borderId="3" xfId="1" applyFont="1" applyFill="1" applyBorder="1" applyAlignment="1">
      <alignment horizontal="right" vertical="center"/>
    </xf>
    <xf numFmtId="3" fontId="11" fillId="14" borderId="1" xfId="0" applyNumberFormat="1" applyFont="1" applyFill="1" applyBorder="1" applyProtection="1">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D25"/>
  <sheetViews>
    <sheetView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4" ht="15.75" thickBot="1" x14ac:dyDescent="0.3"/>
    <row r="2" spans="1:4" x14ac:dyDescent="0.25">
      <c r="B2" s="50" t="s">
        <v>0</v>
      </c>
      <c r="C2" s="51"/>
      <c r="D2" s="52"/>
    </row>
    <row r="3" spans="1:4" x14ac:dyDescent="0.25">
      <c r="B3" s="53" t="s">
        <v>1</v>
      </c>
      <c r="C3" s="54"/>
      <c r="D3" s="55"/>
    </row>
    <row r="4" spans="1:4" x14ac:dyDescent="0.25">
      <c r="B4" s="78" t="s">
        <v>2</v>
      </c>
      <c r="C4" s="79"/>
      <c r="D4" s="80"/>
    </row>
    <row r="5" spans="1:4" x14ac:dyDescent="0.25">
      <c r="B5" s="78"/>
      <c r="C5" s="79"/>
      <c r="D5" s="80"/>
    </row>
    <row r="6" spans="1:4" x14ac:dyDescent="0.25">
      <c r="B6" s="56"/>
      <c r="C6" s="54"/>
      <c r="D6" s="55"/>
    </row>
    <row r="7" spans="1:4" x14ac:dyDescent="0.25">
      <c r="B7" s="58" t="s">
        <v>3</v>
      </c>
      <c r="C7" s="58" t="s">
        <v>4</v>
      </c>
      <c r="D7" s="58" t="s">
        <v>5</v>
      </c>
    </row>
    <row r="8" spans="1:4" ht="30" x14ac:dyDescent="0.25">
      <c r="A8" s="20"/>
      <c r="B8" s="59" t="s">
        <v>6</v>
      </c>
      <c r="C8" s="60" t="s">
        <v>7</v>
      </c>
      <c r="D8" s="59" t="s">
        <v>8</v>
      </c>
    </row>
    <row r="9" spans="1:4" ht="90" x14ac:dyDescent="0.25">
      <c r="B9" s="59" t="s">
        <v>9</v>
      </c>
      <c r="C9" s="60" t="s">
        <v>10</v>
      </c>
      <c r="D9" s="59" t="s">
        <v>11</v>
      </c>
    </row>
    <row r="10" spans="1:4" ht="30" x14ac:dyDescent="0.25">
      <c r="B10" s="59" t="s">
        <v>12</v>
      </c>
      <c r="C10" s="60" t="s">
        <v>13</v>
      </c>
      <c r="D10" s="59" t="s">
        <v>14</v>
      </c>
    </row>
    <row r="11" spans="1:4" ht="30" x14ac:dyDescent="0.25">
      <c r="B11" s="59" t="s">
        <v>15</v>
      </c>
      <c r="C11" s="60" t="s">
        <v>16</v>
      </c>
      <c r="D11" s="59" t="s">
        <v>17</v>
      </c>
    </row>
    <row r="12" spans="1:4" ht="45" x14ac:dyDescent="0.25">
      <c r="B12" s="76" t="s">
        <v>18</v>
      </c>
      <c r="C12" s="77" t="s">
        <v>19</v>
      </c>
      <c r="D12" s="59" t="s">
        <v>20</v>
      </c>
    </row>
    <row r="13" spans="1:4" x14ac:dyDescent="0.25">
      <c r="B13" s="76"/>
      <c r="C13" s="77"/>
      <c r="D13" s="61" t="s">
        <v>21</v>
      </c>
    </row>
    <row r="14" spans="1:4" ht="45" x14ac:dyDescent="0.25">
      <c r="B14" s="59" t="s">
        <v>22</v>
      </c>
      <c r="C14" s="60" t="s">
        <v>23</v>
      </c>
      <c r="D14" s="59" t="s">
        <v>24</v>
      </c>
    </row>
    <row r="15" spans="1:4" ht="45" x14ac:dyDescent="0.25">
      <c r="B15" s="59" t="s">
        <v>25</v>
      </c>
      <c r="C15" s="60" t="s">
        <v>26</v>
      </c>
      <c r="D15" s="59" t="s">
        <v>27</v>
      </c>
    </row>
    <row r="16" spans="1:4" ht="45" x14ac:dyDescent="0.25">
      <c r="B16" s="59" t="s">
        <v>28</v>
      </c>
      <c r="C16" s="60" t="s">
        <v>29</v>
      </c>
      <c r="D16" s="59" t="s">
        <v>30</v>
      </c>
    </row>
    <row r="17" spans="2:4" ht="60" x14ac:dyDescent="0.25">
      <c r="B17" s="59" t="s">
        <v>31</v>
      </c>
      <c r="C17" s="60" t="s">
        <v>32</v>
      </c>
      <c r="D17" s="59" t="s">
        <v>33</v>
      </c>
    </row>
    <row r="18" spans="2:4" ht="45" x14ac:dyDescent="0.25">
      <c r="B18" s="59" t="s">
        <v>34</v>
      </c>
      <c r="C18" s="60" t="s">
        <v>35</v>
      </c>
      <c r="D18" s="59" t="s">
        <v>36</v>
      </c>
    </row>
    <row r="19" spans="2:4" ht="45" x14ac:dyDescent="0.25">
      <c r="B19" s="59" t="s">
        <v>37</v>
      </c>
      <c r="C19" s="60" t="s">
        <v>38</v>
      </c>
      <c r="D19" s="59" t="s">
        <v>39</v>
      </c>
    </row>
    <row r="20" spans="2:4" ht="45" x14ac:dyDescent="0.25">
      <c r="B20" s="59" t="s">
        <v>40</v>
      </c>
      <c r="C20" s="60" t="s">
        <v>41</v>
      </c>
      <c r="D20" s="59" t="s">
        <v>42</v>
      </c>
    </row>
    <row r="21" spans="2:4" ht="105" x14ac:dyDescent="0.25">
      <c r="B21" s="59" t="s">
        <v>43</v>
      </c>
      <c r="C21" s="60" t="s">
        <v>44</v>
      </c>
      <c r="D21" s="59" t="s">
        <v>45</v>
      </c>
    </row>
    <row r="22" spans="2:4" ht="105" x14ac:dyDescent="0.25">
      <c r="B22" s="59" t="s">
        <v>46</v>
      </c>
      <c r="C22" s="60" t="s">
        <v>47</v>
      </c>
      <c r="D22" s="59" t="s">
        <v>48</v>
      </c>
    </row>
    <row r="23" spans="2:4" x14ac:dyDescent="0.25">
      <c r="B23" s="57"/>
      <c r="C23" s="57"/>
      <c r="D23" s="57"/>
    </row>
    <row r="24" spans="2:4" x14ac:dyDescent="0.25">
      <c r="B24" s="57"/>
      <c r="C24" s="57"/>
      <c r="D24" s="57"/>
    </row>
    <row r="25" spans="2:4" x14ac:dyDescent="0.25">
      <c r="D25" s="70"/>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3" t="s">
        <v>49</v>
      </c>
      <c r="D3" s="3" t="s">
        <v>50</v>
      </c>
      <c r="E3" s="4" t="s">
        <v>51</v>
      </c>
      <c r="G3" s="10" t="s">
        <v>52</v>
      </c>
      <c r="H3" s="10"/>
      <c r="I3" s="10" t="s">
        <v>53</v>
      </c>
      <c r="J3" s="10" t="s">
        <v>54</v>
      </c>
    </row>
    <row r="4" spans="1:10" x14ac:dyDescent="0.25">
      <c r="A4" s="1" t="s">
        <v>55</v>
      </c>
      <c r="B4" s="2"/>
      <c r="D4" s="1" t="s">
        <v>56</v>
      </c>
      <c r="E4" s="2">
        <v>2015</v>
      </c>
      <c r="G4" s="8">
        <f>E4</f>
        <v>2015</v>
      </c>
      <c r="H4" s="8">
        <f>IF(G4&lt;2041,1,0)</f>
        <v>1</v>
      </c>
      <c r="I4" s="17">
        <f>IF($G4&lt;($G$4+$E$5),$E$17,0)*H4</f>
        <v>0</v>
      </c>
      <c r="J4" s="22" t="e">
        <f>I4*$B$18*$B$19/10^3</f>
        <v>#REF!</v>
      </c>
    </row>
    <row r="5" spans="1:10" x14ac:dyDescent="0.25">
      <c r="A5" s="1" t="s">
        <v>57</v>
      </c>
      <c r="B5" s="2"/>
      <c r="D5" s="1" t="s">
        <v>58</v>
      </c>
      <c r="E5" s="5">
        <v>10</v>
      </c>
      <c r="G5" s="9">
        <f t="shared" ref="G5:G29" si="0">G4+1</f>
        <v>2016</v>
      </c>
      <c r="H5" s="9">
        <f t="shared" ref="H5:H29" si="1">IF(G5&lt;2041,1,0)</f>
        <v>1</v>
      </c>
      <c r="I5" s="17">
        <f t="shared" ref="I5:I29" si="2">IF($G5&lt;($G$4+$E$5),$E$17,0)*H5</f>
        <v>0</v>
      </c>
      <c r="J5" s="28" t="e">
        <f t="shared" ref="J5:J24" si="3">I5*$B$18*$B$19/10^3</f>
        <v>#REF!</v>
      </c>
    </row>
    <row r="6" spans="1:10" x14ac:dyDescent="0.25">
      <c r="A6" s="1" t="s">
        <v>59</v>
      </c>
      <c r="B6" s="2">
        <v>1</v>
      </c>
      <c r="D6" s="81" t="s">
        <v>60</v>
      </c>
      <c r="E6" s="82"/>
      <c r="G6" s="8">
        <f t="shared" si="0"/>
        <v>2017</v>
      </c>
      <c r="H6" s="8">
        <f t="shared" si="1"/>
        <v>1</v>
      </c>
      <c r="I6" s="17">
        <f t="shared" si="2"/>
        <v>0</v>
      </c>
      <c r="J6" s="22" t="e">
        <f t="shared" si="3"/>
        <v>#REF!</v>
      </c>
    </row>
    <row r="7" spans="1:10" x14ac:dyDescent="0.25">
      <c r="A7" s="1" t="s">
        <v>61</v>
      </c>
      <c r="B7" s="18"/>
      <c r="D7" s="1" t="s">
        <v>62</v>
      </c>
      <c r="E7" s="5"/>
      <c r="G7" s="9">
        <f t="shared" si="0"/>
        <v>2018</v>
      </c>
      <c r="H7" s="9">
        <f t="shared" si="1"/>
        <v>1</v>
      </c>
      <c r="I7" s="17">
        <f t="shared" si="2"/>
        <v>0</v>
      </c>
      <c r="J7" s="28" t="e">
        <f t="shared" si="3"/>
        <v>#REF!</v>
      </c>
    </row>
    <row r="8" spans="1:10" x14ac:dyDescent="0.25">
      <c r="A8" s="1" t="s">
        <v>63</v>
      </c>
      <c r="B8" s="18"/>
      <c r="D8" s="1" t="s">
        <v>64</v>
      </c>
      <c r="E8" s="31">
        <v>1.1499999999999999</v>
      </c>
      <c r="G8" s="8">
        <f t="shared" si="0"/>
        <v>2019</v>
      </c>
      <c r="H8" s="8">
        <f t="shared" si="1"/>
        <v>1</v>
      </c>
      <c r="I8" s="17">
        <f t="shared" si="2"/>
        <v>0</v>
      </c>
      <c r="J8" s="22" t="e">
        <f t="shared" si="3"/>
        <v>#REF!</v>
      </c>
    </row>
    <row r="9" spans="1:10" x14ac:dyDescent="0.25">
      <c r="G9" s="9">
        <f t="shared" si="0"/>
        <v>2020</v>
      </c>
      <c r="H9" s="9">
        <f t="shared" si="1"/>
        <v>1</v>
      </c>
      <c r="I9" s="17">
        <f t="shared" si="2"/>
        <v>0</v>
      </c>
      <c r="J9" s="28" t="e">
        <f t="shared" si="3"/>
        <v>#REF!</v>
      </c>
    </row>
    <row r="10" spans="1:10" x14ac:dyDescent="0.25">
      <c r="A10" s="7" t="s">
        <v>65</v>
      </c>
      <c r="G10" s="8">
        <f t="shared" si="0"/>
        <v>2021</v>
      </c>
      <c r="H10" s="8">
        <f t="shared" si="1"/>
        <v>1</v>
      </c>
      <c r="I10" s="17">
        <f t="shared" si="2"/>
        <v>0</v>
      </c>
      <c r="J10" s="22" t="e">
        <f t="shared" si="3"/>
        <v>#REF!</v>
      </c>
    </row>
    <row r="11" spans="1:10" x14ac:dyDescent="0.25">
      <c r="A11" s="6" t="s">
        <v>66</v>
      </c>
      <c r="B11" s="29" t="e">
        <f>NPV($B$17,J4:J29)/(1+$B$17)^(E4-B16+1)</f>
        <v>#REF!</v>
      </c>
      <c r="G11" s="9">
        <f t="shared" si="0"/>
        <v>2022</v>
      </c>
      <c r="H11" s="9">
        <f t="shared" si="1"/>
        <v>1</v>
      </c>
      <c r="I11" s="17">
        <f t="shared" si="2"/>
        <v>0</v>
      </c>
      <c r="J11" s="28" t="e">
        <f t="shared" si="3"/>
        <v>#REF!</v>
      </c>
    </row>
    <row r="12" spans="1:10" x14ac:dyDescent="0.25">
      <c r="A12" s="6" t="s">
        <v>67</v>
      </c>
      <c r="B12" s="27" t="e">
        <f>B11/B7</f>
        <v>#REF!</v>
      </c>
      <c r="G12" s="8">
        <f t="shared" si="0"/>
        <v>2023</v>
      </c>
      <c r="H12" s="8">
        <f t="shared" si="1"/>
        <v>1</v>
      </c>
      <c r="I12" s="17">
        <f t="shared" si="2"/>
        <v>0</v>
      </c>
      <c r="J12" s="22" t="e">
        <f t="shared" si="3"/>
        <v>#REF!</v>
      </c>
    </row>
    <row r="13" spans="1:10" x14ac:dyDescent="0.25">
      <c r="G13" s="9">
        <f t="shared" si="0"/>
        <v>2024</v>
      </c>
      <c r="H13" s="9">
        <f t="shared" si="1"/>
        <v>1</v>
      </c>
      <c r="I13" s="17">
        <f t="shared" si="2"/>
        <v>0</v>
      </c>
      <c r="J13" s="28" t="e">
        <f t="shared" si="3"/>
        <v>#REF!</v>
      </c>
    </row>
    <row r="14" spans="1:10" x14ac:dyDescent="0.25">
      <c r="G14" s="8">
        <f>G13+1</f>
        <v>2025</v>
      </c>
      <c r="H14" s="8">
        <f t="shared" si="1"/>
        <v>1</v>
      </c>
      <c r="I14" s="17">
        <f t="shared" si="2"/>
        <v>0</v>
      </c>
      <c r="J14" s="22" t="e">
        <f t="shared" si="3"/>
        <v>#REF!</v>
      </c>
    </row>
    <row r="15" spans="1:10" x14ac:dyDescent="0.25">
      <c r="A15" s="11" t="s">
        <v>68</v>
      </c>
      <c r="G15" s="9">
        <f t="shared" si="0"/>
        <v>2026</v>
      </c>
      <c r="H15" s="9">
        <f t="shared" si="1"/>
        <v>1</v>
      </c>
      <c r="I15" s="17">
        <f t="shared" si="2"/>
        <v>0</v>
      </c>
      <c r="J15" s="28" t="e">
        <f t="shared" si="3"/>
        <v>#REF!</v>
      </c>
    </row>
    <row r="16" spans="1:10" x14ac:dyDescent="0.25">
      <c r="A16" s="12" t="s">
        <v>69</v>
      </c>
      <c r="B16" s="12" t="e">
        <f>#REF!</f>
        <v>#REF!</v>
      </c>
      <c r="D16" s="11" t="s">
        <v>70</v>
      </c>
      <c r="E16" s="19" t="s">
        <v>51</v>
      </c>
      <c r="G16" s="8">
        <f t="shared" si="0"/>
        <v>2027</v>
      </c>
      <c r="H16" s="8">
        <f t="shared" si="1"/>
        <v>1</v>
      </c>
      <c r="I16" s="17">
        <f t="shared" si="2"/>
        <v>0</v>
      </c>
      <c r="J16" s="22" t="e">
        <f t="shared" si="3"/>
        <v>#REF!</v>
      </c>
    </row>
    <row r="17" spans="1:10" x14ac:dyDescent="0.25">
      <c r="A17" s="12" t="s">
        <v>71</v>
      </c>
      <c r="B17" s="13" t="e">
        <f>#REF!</f>
        <v>#REF!</v>
      </c>
      <c r="D17" s="15" t="s">
        <v>72</v>
      </c>
      <c r="E17" s="16">
        <f>E7/E8</f>
        <v>0</v>
      </c>
      <c r="G17" s="9">
        <f t="shared" si="0"/>
        <v>2028</v>
      </c>
      <c r="H17" s="9">
        <f t="shared" si="1"/>
        <v>1</v>
      </c>
      <c r="I17" s="17">
        <f t="shared" si="2"/>
        <v>0</v>
      </c>
      <c r="J17" s="28" t="e">
        <f t="shared" si="3"/>
        <v>#REF!</v>
      </c>
    </row>
    <row r="18" spans="1:10" x14ac:dyDescent="0.25">
      <c r="A18" s="12" t="s">
        <v>73</v>
      </c>
      <c r="B18" s="12">
        <f>IF(B6=2,2.1, 1.1)</f>
        <v>1.1000000000000001</v>
      </c>
      <c r="G18" s="8">
        <f t="shared" si="0"/>
        <v>2029</v>
      </c>
      <c r="H18" s="8">
        <f t="shared" si="1"/>
        <v>1</v>
      </c>
      <c r="I18" s="17">
        <f t="shared" si="2"/>
        <v>0</v>
      </c>
      <c r="J18" s="22" t="e">
        <f t="shared" si="3"/>
        <v>#REF!</v>
      </c>
    </row>
    <row r="19" spans="1:10" x14ac:dyDescent="0.25">
      <c r="A19" s="12" t="s">
        <v>74</v>
      </c>
      <c r="B19" s="14" t="e">
        <f>#REF!</f>
        <v>#REF!</v>
      </c>
      <c r="G19" s="9">
        <f t="shared" si="0"/>
        <v>2030</v>
      </c>
      <c r="H19" s="9">
        <f t="shared" si="1"/>
        <v>1</v>
      </c>
      <c r="I19" s="17">
        <f t="shared" si="2"/>
        <v>0</v>
      </c>
      <c r="J19" s="28" t="e">
        <f t="shared" si="3"/>
        <v>#REF!</v>
      </c>
    </row>
    <row r="20" spans="1:10" x14ac:dyDescent="0.25">
      <c r="A20" s="12" t="s">
        <v>75</v>
      </c>
      <c r="B20" s="12">
        <v>260</v>
      </c>
      <c r="G20" s="8">
        <f t="shared" si="0"/>
        <v>2031</v>
      </c>
      <c r="H20" s="8">
        <f t="shared" si="1"/>
        <v>1</v>
      </c>
      <c r="I20" s="17">
        <f t="shared" si="2"/>
        <v>0</v>
      </c>
      <c r="J20" s="22" t="e">
        <f t="shared" si="3"/>
        <v>#REF!</v>
      </c>
    </row>
    <row r="21" spans="1:10" x14ac:dyDescent="0.25">
      <c r="G21" s="9">
        <f t="shared" si="0"/>
        <v>2032</v>
      </c>
      <c r="H21" s="9">
        <f t="shared" si="1"/>
        <v>1</v>
      </c>
      <c r="I21" s="17">
        <f t="shared" si="2"/>
        <v>0</v>
      </c>
      <c r="J21" s="28" t="e">
        <f t="shared" si="3"/>
        <v>#REF!</v>
      </c>
    </row>
    <row r="22" spans="1:10" x14ac:dyDescent="0.25">
      <c r="G22" s="8">
        <f t="shared" si="0"/>
        <v>2033</v>
      </c>
      <c r="H22" s="8">
        <f t="shared" si="1"/>
        <v>1</v>
      </c>
      <c r="I22" s="17">
        <f t="shared" si="2"/>
        <v>0</v>
      </c>
      <c r="J22" s="22" t="e">
        <f t="shared" si="3"/>
        <v>#REF!</v>
      </c>
    </row>
    <row r="23" spans="1:10" x14ac:dyDescent="0.25">
      <c r="G23" s="9">
        <f t="shared" si="0"/>
        <v>2034</v>
      </c>
      <c r="H23" s="9">
        <f t="shared" si="1"/>
        <v>1</v>
      </c>
      <c r="I23" s="17">
        <f t="shared" si="2"/>
        <v>0</v>
      </c>
      <c r="J23" s="28" t="e">
        <f t="shared" si="3"/>
        <v>#REF!</v>
      </c>
    </row>
    <row r="24" spans="1:10" x14ac:dyDescent="0.25">
      <c r="G24" s="8">
        <f t="shared" si="0"/>
        <v>2035</v>
      </c>
      <c r="H24" s="8">
        <f t="shared" si="1"/>
        <v>1</v>
      </c>
      <c r="I24" s="17">
        <f t="shared" si="2"/>
        <v>0</v>
      </c>
      <c r="J24" s="22" t="e">
        <f t="shared" si="3"/>
        <v>#REF!</v>
      </c>
    </row>
    <row r="25" spans="1:10" x14ac:dyDescent="0.25">
      <c r="G25" s="9">
        <f t="shared" si="0"/>
        <v>2036</v>
      </c>
      <c r="H25" s="9">
        <f t="shared" si="1"/>
        <v>1</v>
      </c>
      <c r="I25" s="17">
        <f t="shared" si="2"/>
        <v>0</v>
      </c>
      <c r="J25" s="28" t="e">
        <f t="shared" ref="J25:J29" si="4">I25*$B$18*$B$19/10^3</f>
        <v>#REF!</v>
      </c>
    </row>
    <row r="26" spans="1:10" x14ac:dyDescent="0.25">
      <c r="G26" s="8">
        <f t="shared" si="0"/>
        <v>2037</v>
      </c>
      <c r="H26" s="8">
        <f t="shared" si="1"/>
        <v>1</v>
      </c>
      <c r="I26" s="17">
        <f t="shared" si="2"/>
        <v>0</v>
      </c>
      <c r="J26" s="22" t="e">
        <f t="shared" si="4"/>
        <v>#REF!</v>
      </c>
    </row>
    <row r="27" spans="1:10" x14ac:dyDescent="0.25">
      <c r="G27" s="9">
        <f t="shared" si="0"/>
        <v>2038</v>
      </c>
      <c r="H27" s="9">
        <f t="shared" si="1"/>
        <v>1</v>
      </c>
      <c r="I27" s="17">
        <f t="shared" si="2"/>
        <v>0</v>
      </c>
      <c r="J27" s="28" t="e">
        <f t="shared" si="4"/>
        <v>#REF!</v>
      </c>
    </row>
    <row r="28" spans="1:10" x14ac:dyDescent="0.25">
      <c r="G28" s="8">
        <f t="shared" si="0"/>
        <v>2039</v>
      </c>
      <c r="H28" s="8">
        <f t="shared" si="1"/>
        <v>1</v>
      </c>
      <c r="I28" s="17">
        <f t="shared" si="2"/>
        <v>0</v>
      </c>
      <c r="J28" s="22" t="e">
        <f t="shared" si="4"/>
        <v>#REF!</v>
      </c>
    </row>
    <row r="29" spans="1:10" x14ac:dyDescent="0.25">
      <c r="A29" s="20"/>
      <c r="G29" s="9">
        <f t="shared" si="0"/>
        <v>2040</v>
      </c>
      <c r="H29" s="9">
        <f t="shared" si="1"/>
        <v>1</v>
      </c>
      <c r="I29" s="17">
        <f t="shared" si="2"/>
        <v>0</v>
      </c>
      <c r="J29" s="28" t="e">
        <f t="shared" si="4"/>
        <v>#REF!</v>
      </c>
    </row>
    <row r="51" spans="1:1" x14ac:dyDescent="0.25">
      <c r="A51" t="s">
        <v>76</v>
      </c>
    </row>
    <row r="52" spans="1:1" x14ac:dyDescent="0.25">
      <c r="A52" t="s">
        <v>77</v>
      </c>
    </row>
    <row r="53" spans="1:1" x14ac:dyDescent="0.25">
      <c r="A53" t="s">
        <v>78</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3" t="s">
        <v>49</v>
      </c>
      <c r="D3" s="3" t="s">
        <v>79</v>
      </c>
      <c r="E3" s="4" t="s">
        <v>51</v>
      </c>
      <c r="G3" s="10" t="s">
        <v>52</v>
      </c>
      <c r="H3" s="10" t="s">
        <v>80</v>
      </c>
      <c r="I3" s="10" t="s">
        <v>81</v>
      </c>
      <c r="J3" s="10" t="s">
        <v>82</v>
      </c>
      <c r="K3" s="10" t="s">
        <v>83</v>
      </c>
    </row>
    <row r="4" spans="1:11" x14ac:dyDescent="0.25">
      <c r="A4" s="1" t="s">
        <v>55</v>
      </c>
      <c r="B4" s="2"/>
      <c r="D4" s="1" t="s">
        <v>56</v>
      </c>
      <c r="E4" s="2">
        <v>2015</v>
      </c>
      <c r="G4" s="8">
        <f>E4</f>
        <v>2015</v>
      </c>
      <c r="H4" s="24" t="e">
        <f t="shared" ref="H4:H24" si="0">IF($G4&lt;($G$4+$E$5),$E$17,0)</f>
        <v>#REF!</v>
      </c>
      <c r="I4" s="22" t="e">
        <f>H4*$B$20/10^3</f>
        <v>#REF!</v>
      </c>
      <c r="J4" s="24" t="e">
        <f t="shared" ref="J4:J24" si="1">IF($G4&lt;($G$4+$E$5),$E$18,0)</f>
        <v>#REF!</v>
      </c>
      <c r="K4" s="22" t="e">
        <f>J4*$B$21/10^3</f>
        <v>#REF!</v>
      </c>
    </row>
    <row r="5" spans="1:11" x14ac:dyDescent="0.25">
      <c r="A5" s="1" t="s">
        <v>57</v>
      </c>
      <c r="B5" s="2"/>
      <c r="D5" s="1" t="s">
        <v>58</v>
      </c>
      <c r="E5" s="5">
        <v>10</v>
      </c>
      <c r="G5" s="9">
        <f t="shared" ref="G5:G29" si="2">G4+1</f>
        <v>2016</v>
      </c>
      <c r="H5" s="24" t="e">
        <f t="shared" si="0"/>
        <v>#REF!</v>
      </c>
      <c r="I5" s="25" t="e">
        <f t="shared" ref="I5:I24" si="3">H5*$B$20/10^3</f>
        <v>#REF!</v>
      </c>
      <c r="J5" s="24" t="e">
        <f t="shared" si="1"/>
        <v>#REF!</v>
      </c>
      <c r="K5" s="25" t="e">
        <f t="shared" ref="K5:K24" si="4">J5*$B$21/10^3</f>
        <v>#REF!</v>
      </c>
    </row>
    <row r="6" spans="1:11" x14ac:dyDescent="0.25">
      <c r="A6" s="1" t="s">
        <v>84</v>
      </c>
      <c r="B6" s="2">
        <v>2</v>
      </c>
      <c r="D6" s="81" t="s">
        <v>60</v>
      </c>
      <c r="E6" s="82"/>
      <c r="G6" s="8">
        <f t="shared" si="2"/>
        <v>2017</v>
      </c>
      <c r="H6" s="24" t="e">
        <f t="shared" si="0"/>
        <v>#REF!</v>
      </c>
      <c r="I6" s="22" t="e">
        <f t="shared" si="3"/>
        <v>#REF!</v>
      </c>
      <c r="J6" s="24" t="e">
        <f t="shared" si="1"/>
        <v>#REF!</v>
      </c>
      <c r="K6" s="22" t="e">
        <f t="shared" si="4"/>
        <v>#REF!</v>
      </c>
    </row>
    <row r="7" spans="1:11" x14ac:dyDescent="0.25">
      <c r="A7" s="1" t="s">
        <v>61</v>
      </c>
      <c r="B7" s="18"/>
      <c r="D7" s="1" t="s">
        <v>85</v>
      </c>
      <c r="E7" s="5"/>
      <c r="G7" s="9">
        <f t="shared" si="2"/>
        <v>2018</v>
      </c>
      <c r="H7" s="24" t="e">
        <f t="shared" si="0"/>
        <v>#REF!</v>
      </c>
      <c r="I7" s="25" t="e">
        <f t="shared" si="3"/>
        <v>#REF!</v>
      </c>
      <c r="J7" s="24" t="e">
        <f t="shared" si="1"/>
        <v>#REF!</v>
      </c>
      <c r="K7" s="25" t="e">
        <f t="shared" si="4"/>
        <v>#REF!</v>
      </c>
    </row>
    <row r="8" spans="1:11" x14ac:dyDescent="0.25">
      <c r="A8" s="1" t="s">
        <v>63</v>
      </c>
      <c r="B8" s="18"/>
      <c r="D8" s="81" t="s">
        <v>86</v>
      </c>
      <c r="E8" s="82"/>
      <c r="G8" s="8">
        <f t="shared" si="2"/>
        <v>2019</v>
      </c>
      <c r="H8" s="24" t="e">
        <f t="shared" si="0"/>
        <v>#REF!</v>
      </c>
      <c r="I8" s="22" t="e">
        <f t="shared" si="3"/>
        <v>#REF!</v>
      </c>
      <c r="J8" s="24" t="e">
        <f t="shared" si="1"/>
        <v>#REF!</v>
      </c>
      <c r="K8" s="22" t="e">
        <f t="shared" si="4"/>
        <v>#REF!</v>
      </c>
    </row>
    <row r="9" spans="1:11" x14ac:dyDescent="0.25">
      <c r="D9" s="1" t="s">
        <v>87</v>
      </c>
      <c r="E9" s="5"/>
      <c r="G9" s="9">
        <f t="shared" si="2"/>
        <v>2020</v>
      </c>
      <c r="H9" s="24" t="e">
        <f t="shared" si="0"/>
        <v>#REF!</v>
      </c>
      <c r="I9" s="25" t="e">
        <f t="shared" si="3"/>
        <v>#REF!</v>
      </c>
      <c r="J9" s="24" t="e">
        <f t="shared" si="1"/>
        <v>#REF!</v>
      </c>
      <c r="K9" s="25" t="e">
        <f t="shared" si="4"/>
        <v>#REF!</v>
      </c>
    </row>
    <row r="10" spans="1:11" x14ac:dyDescent="0.25">
      <c r="A10" s="7" t="s">
        <v>65</v>
      </c>
      <c r="D10" s="1" t="s">
        <v>88</v>
      </c>
      <c r="E10" s="5"/>
      <c r="G10" s="8">
        <f t="shared" si="2"/>
        <v>2021</v>
      </c>
      <c r="H10" s="24" t="e">
        <f t="shared" si="0"/>
        <v>#REF!</v>
      </c>
      <c r="I10" s="22" t="e">
        <f t="shared" si="3"/>
        <v>#REF!</v>
      </c>
      <c r="J10" s="24" t="e">
        <f t="shared" si="1"/>
        <v>#REF!</v>
      </c>
      <c r="K10" s="22" t="e">
        <f t="shared" si="4"/>
        <v>#REF!</v>
      </c>
    </row>
    <row r="11" spans="1:11" x14ac:dyDescent="0.25">
      <c r="A11" s="6" t="s">
        <v>89</v>
      </c>
      <c r="B11" s="26" t="e">
        <f>(NPV($B$17,K4:K24)+NPV($B$17,I4:I24))/(1+$B$17)^2</f>
        <v>#REF!</v>
      </c>
      <c r="G11" s="9">
        <f t="shared" si="2"/>
        <v>2022</v>
      </c>
      <c r="H11" s="24" t="e">
        <f t="shared" si="0"/>
        <v>#REF!</v>
      </c>
      <c r="I11" s="25" t="e">
        <f t="shared" si="3"/>
        <v>#REF!</v>
      </c>
      <c r="J11" s="24" t="e">
        <f t="shared" si="1"/>
        <v>#REF!</v>
      </c>
      <c r="K11" s="25" t="e">
        <f t="shared" si="4"/>
        <v>#REF!</v>
      </c>
    </row>
    <row r="12" spans="1:11" x14ac:dyDescent="0.25">
      <c r="A12" s="6" t="s">
        <v>67</v>
      </c>
      <c r="B12" s="27" t="e">
        <f>B11/B7</f>
        <v>#REF!</v>
      </c>
      <c r="G12" s="8">
        <f t="shared" si="2"/>
        <v>2023</v>
      </c>
      <c r="H12" s="24" t="e">
        <f t="shared" si="0"/>
        <v>#REF!</v>
      </c>
      <c r="I12" s="22" t="e">
        <f t="shared" si="3"/>
        <v>#REF!</v>
      </c>
      <c r="J12" s="24" t="e">
        <f t="shared" si="1"/>
        <v>#REF!</v>
      </c>
      <c r="K12" s="22" t="e">
        <f t="shared" si="4"/>
        <v>#REF!</v>
      </c>
    </row>
    <row r="13" spans="1:11" x14ac:dyDescent="0.25">
      <c r="A13" s="6" t="s">
        <v>90</v>
      </c>
      <c r="B13" s="26" t="e">
        <f>B7*(B17/(1-(1+B17)^(-E5))/(SUM(H4:H29)+SUM(J4:J29)))</f>
        <v>#REF!</v>
      </c>
      <c r="G13" s="9">
        <f t="shared" si="2"/>
        <v>2024</v>
      </c>
      <c r="H13" s="24" t="e">
        <f t="shared" si="0"/>
        <v>#REF!</v>
      </c>
      <c r="I13" s="25" t="e">
        <f t="shared" si="3"/>
        <v>#REF!</v>
      </c>
      <c r="J13" s="24" t="e">
        <f t="shared" si="1"/>
        <v>#REF!</v>
      </c>
      <c r="K13" s="25" t="e">
        <f t="shared" si="4"/>
        <v>#REF!</v>
      </c>
    </row>
    <row r="14" spans="1:11" x14ac:dyDescent="0.25">
      <c r="G14" s="8">
        <f>G13+1</f>
        <v>2025</v>
      </c>
      <c r="H14" s="24">
        <f t="shared" si="0"/>
        <v>0</v>
      </c>
      <c r="I14" s="22" t="e">
        <f t="shared" si="3"/>
        <v>#REF!</v>
      </c>
      <c r="J14" s="24">
        <f t="shared" si="1"/>
        <v>0</v>
      </c>
      <c r="K14" s="22" t="e">
        <f t="shared" si="4"/>
        <v>#REF!</v>
      </c>
    </row>
    <row r="15" spans="1:11" x14ac:dyDescent="0.25">
      <c r="A15" s="11" t="s">
        <v>68</v>
      </c>
      <c r="G15" s="9">
        <f t="shared" si="2"/>
        <v>2026</v>
      </c>
      <c r="H15" s="24">
        <f t="shared" si="0"/>
        <v>0</v>
      </c>
      <c r="I15" s="25" t="e">
        <f t="shared" si="3"/>
        <v>#REF!</v>
      </c>
      <c r="J15" s="24">
        <f t="shared" si="1"/>
        <v>0</v>
      </c>
      <c r="K15" s="25" t="e">
        <f t="shared" si="4"/>
        <v>#REF!</v>
      </c>
    </row>
    <row r="16" spans="1:11" x14ac:dyDescent="0.25">
      <c r="A16" s="12" t="s">
        <v>69</v>
      </c>
      <c r="B16" s="12">
        <v>2015</v>
      </c>
      <c r="D16" s="11" t="s">
        <v>70</v>
      </c>
      <c r="E16" s="19" t="s">
        <v>51</v>
      </c>
      <c r="G16" s="8">
        <f t="shared" si="2"/>
        <v>2027</v>
      </c>
      <c r="H16" s="24">
        <f t="shared" si="0"/>
        <v>0</v>
      </c>
      <c r="I16" s="22" t="e">
        <f t="shared" si="3"/>
        <v>#REF!</v>
      </c>
      <c r="J16" s="24">
        <f t="shared" si="1"/>
        <v>0</v>
      </c>
      <c r="K16" s="22" t="e">
        <f t="shared" si="4"/>
        <v>#REF!</v>
      </c>
    </row>
    <row r="17" spans="1:11" x14ac:dyDescent="0.25">
      <c r="A17" s="12" t="s">
        <v>71</v>
      </c>
      <c r="B17" s="13">
        <v>7.0000000000000007E-2</v>
      </c>
      <c r="D17" s="15" t="s">
        <v>87</v>
      </c>
      <c r="E17" s="21" t="e">
        <f>IF(E9,E9,$E$7*B18*$B$22/10^6)</f>
        <v>#REF!</v>
      </c>
      <c r="G17" s="9">
        <f t="shared" si="2"/>
        <v>2028</v>
      </c>
      <c r="H17" s="24">
        <f t="shared" si="0"/>
        <v>0</v>
      </c>
      <c r="I17" s="25" t="e">
        <f t="shared" si="3"/>
        <v>#REF!</v>
      </c>
      <c r="J17" s="24">
        <f t="shared" si="1"/>
        <v>0</v>
      </c>
      <c r="K17" s="25" t="e">
        <f t="shared" si="4"/>
        <v>#REF!</v>
      </c>
    </row>
    <row r="18" spans="1:11" x14ac:dyDescent="0.25">
      <c r="A18" s="12" t="s">
        <v>91</v>
      </c>
      <c r="B18" s="30" t="e">
        <f>IF($B$6=2,#REF!,0)</f>
        <v>#REF!</v>
      </c>
      <c r="D18" s="15" t="s">
        <v>88</v>
      </c>
      <c r="E18" s="21" t="e">
        <f>IF(E10,E10,$E$7*B19*$B$22/10^6)</f>
        <v>#REF!</v>
      </c>
      <c r="G18" s="8">
        <f t="shared" si="2"/>
        <v>2029</v>
      </c>
      <c r="H18" s="24">
        <f t="shared" si="0"/>
        <v>0</v>
      </c>
      <c r="I18" s="22" t="e">
        <f t="shared" si="3"/>
        <v>#REF!</v>
      </c>
      <c r="J18" s="24">
        <f t="shared" si="1"/>
        <v>0</v>
      </c>
      <c r="K18" s="22" t="e">
        <f t="shared" si="4"/>
        <v>#REF!</v>
      </c>
    </row>
    <row r="19" spans="1:11" x14ac:dyDescent="0.25">
      <c r="A19" s="12" t="s">
        <v>92</v>
      </c>
      <c r="B19" s="30" t="e">
        <f>IF($B$6=2,#REF!,0)</f>
        <v>#REF!</v>
      </c>
      <c r="G19" s="9">
        <f t="shared" si="2"/>
        <v>2030</v>
      </c>
      <c r="H19" s="24">
        <f t="shared" si="0"/>
        <v>0</v>
      </c>
      <c r="I19" s="25" t="e">
        <f t="shared" si="3"/>
        <v>#REF!</v>
      </c>
      <c r="J19" s="24">
        <f t="shared" si="1"/>
        <v>0</v>
      </c>
      <c r="K19" s="25" t="e">
        <f t="shared" si="4"/>
        <v>#REF!</v>
      </c>
    </row>
    <row r="20" spans="1:11" x14ac:dyDescent="0.25">
      <c r="A20" s="12" t="s">
        <v>93</v>
      </c>
      <c r="B20" s="23" t="e">
        <f>#REF!</f>
        <v>#REF!</v>
      </c>
      <c r="G20" s="8">
        <f t="shared" si="2"/>
        <v>2031</v>
      </c>
      <c r="H20" s="24">
        <f t="shared" si="0"/>
        <v>0</v>
      </c>
      <c r="I20" s="22" t="e">
        <f t="shared" si="3"/>
        <v>#REF!</v>
      </c>
      <c r="J20" s="24">
        <f t="shared" si="1"/>
        <v>0</v>
      </c>
      <c r="K20" s="22" t="e">
        <f t="shared" si="4"/>
        <v>#REF!</v>
      </c>
    </row>
    <row r="21" spans="1:11" x14ac:dyDescent="0.25">
      <c r="A21" s="12" t="s">
        <v>94</v>
      </c>
      <c r="B21" s="23" t="e">
        <f>#REF!</f>
        <v>#REF!</v>
      </c>
      <c r="G21" s="9">
        <f t="shared" si="2"/>
        <v>2032</v>
      </c>
      <c r="H21" s="24">
        <f t="shared" si="0"/>
        <v>0</v>
      </c>
      <c r="I21" s="25" t="e">
        <f t="shared" si="3"/>
        <v>#REF!</v>
      </c>
      <c r="J21" s="24">
        <f t="shared" si="1"/>
        <v>0</v>
      </c>
      <c r="K21" s="25" t="e">
        <f t="shared" si="4"/>
        <v>#REF!</v>
      </c>
    </row>
    <row r="22" spans="1:11" x14ac:dyDescent="0.25">
      <c r="A22" s="12" t="s">
        <v>75</v>
      </c>
      <c r="B22" s="12">
        <v>260</v>
      </c>
      <c r="G22" s="8">
        <f t="shared" si="2"/>
        <v>2033</v>
      </c>
      <c r="H22" s="24">
        <f t="shared" si="0"/>
        <v>0</v>
      </c>
      <c r="I22" s="22" t="e">
        <f t="shared" si="3"/>
        <v>#REF!</v>
      </c>
      <c r="J22" s="24">
        <f t="shared" si="1"/>
        <v>0</v>
      </c>
      <c r="K22" s="22" t="e">
        <f t="shared" si="4"/>
        <v>#REF!</v>
      </c>
    </row>
    <row r="23" spans="1:11" x14ac:dyDescent="0.25">
      <c r="G23" s="9">
        <f t="shared" si="2"/>
        <v>2034</v>
      </c>
      <c r="H23" s="24">
        <f t="shared" si="0"/>
        <v>0</v>
      </c>
      <c r="I23" s="25" t="e">
        <f t="shared" si="3"/>
        <v>#REF!</v>
      </c>
      <c r="J23" s="24">
        <f t="shared" si="1"/>
        <v>0</v>
      </c>
      <c r="K23" s="25" t="e">
        <f t="shared" si="4"/>
        <v>#REF!</v>
      </c>
    </row>
    <row r="24" spans="1:11" x14ac:dyDescent="0.25">
      <c r="G24" s="8">
        <f t="shared" si="2"/>
        <v>2035</v>
      </c>
      <c r="H24" s="24">
        <f t="shared" si="0"/>
        <v>0</v>
      </c>
      <c r="I24" s="22" t="e">
        <f t="shared" si="3"/>
        <v>#REF!</v>
      </c>
      <c r="J24" s="24">
        <f t="shared" si="1"/>
        <v>0</v>
      </c>
      <c r="K24" s="22" t="e">
        <f t="shared" si="4"/>
        <v>#REF!</v>
      </c>
    </row>
    <row r="25" spans="1:11" x14ac:dyDescent="0.25">
      <c r="G25" s="9">
        <f t="shared" si="2"/>
        <v>2036</v>
      </c>
      <c r="H25" s="24">
        <f t="shared" ref="H25:H28" si="5">IF($G25&lt;($G$4+$E$5),$E$17,0)</f>
        <v>0</v>
      </c>
      <c r="I25" s="25" t="e">
        <f t="shared" ref="I25:I29" si="6">H25*$B$20/10^3</f>
        <v>#REF!</v>
      </c>
      <c r="J25" s="24">
        <f t="shared" ref="J25:J28" si="7">IF($G25&lt;($G$4+$E$5),$E$18,0)</f>
        <v>0</v>
      </c>
      <c r="K25" s="25" t="e">
        <f t="shared" ref="K25:K29" si="8">J25*$B$21/10^3</f>
        <v>#REF!</v>
      </c>
    </row>
    <row r="26" spans="1:11" x14ac:dyDescent="0.25">
      <c r="G26" s="8">
        <f t="shared" si="2"/>
        <v>2037</v>
      </c>
      <c r="H26" s="24">
        <f t="shared" si="5"/>
        <v>0</v>
      </c>
      <c r="I26" s="22" t="e">
        <f t="shared" si="6"/>
        <v>#REF!</v>
      </c>
      <c r="J26" s="24">
        <f t="shared" si="7"/>
        <v>0</v>
      </c>
      <c r="K26" s="22" t="e">
        <f t="shared" si="8"/>
        <v>#REF!</v>
      </c>
    </row>
    <row r="27" spans="1:11" x14ac:dyDescent="0.25">
      <c r="G27" s="9">
        <f t="shared" si="2"/>
        <v>2038</v>
      </c>
      <c r="H27" s="24">
        <f t="shared" si="5"/>
        <v>0</v>
      </c>
      <c r="I27" s="25" t="e">
        <f t="shared" si="6"/>
        <v>#REF!</v>
      </c>
      <c r="J27" s="24">
        <f t="shared" si="7"/>
        <v>0</v>
      </c>
      <c r="K27" s="25" t="e">
        <f t="shared" si="8"/>
        <v>#REF!</v>
      </c>
    </row>
    <row r="28" spans="1:11" x14ac:dyDescent="0.25">
      <c r="G28" s="8">
        <f t="shared" si="2"/>
        <v>2039</v>
      </c>
      <c r="H28" s="24">
        <f t="shared" si="5"/>
        <v>0</v>
      </c>
      <c r="I28" s="22" t="e">
        <f t="shared" si="6"/>
        <v>#REF!</v>
      </c>
      <c r="J28" s="24">
        <f t="shared" si="7"/>
        <v>0</v>
      </c>
      <c r="K28" s="22" t="e">
        <f t="shared" si="8"/>
        <v>#REF!</v>
      </c>
    </row>
    <row r="29" spans="1:11" x14ac:dyDescent="0.25">
      <c r="G29" s="9">
        <f t="shared" si="2"/>
        <v>2040</v>
      </c>
      <c r="H29" s="24">
        <f>IF($G29&lt;($G$4+$E$5),$E$17,0)</f>
        <v>0</v>
      </c>
      <c r="I29" s="25" t="e">
        <f t="shared" si="6"/>
        <v>#REF!</v>
      </c>
      <c r="J29" s="24">
        <f>IF($G29&lt;($G$4+$E$5),$E$18,0)</f>
        <v>0</v>
      </c>
      <c r="K29" s="25" t="e">
        <f t="shared" si="8"/>
        <v>#REF!</v>
      </c>
    </row>
    <row r="31" spans="1:11" x14ac:dyDescent="0.25">
      <c r="A31" s="20"/>
    </row>
    <row r="53" spans="1:1" x14ac:dyDescent="0.25">
      <c r="A53" t="s">
        <v>76</v>
      </c>
    </row>
    <row r="54" spans="1:1" x14ac:dyDescent="0.25">
      <c r="A54" t="s">
        <v>77</v>
      </c>
    </row>
    <row r="55" spans="1:1" x14ac:dyDescent="0.25">
      <c r="A55" t="s">
        <v>78</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28"/>
  <sheetViews>
    <sheetView tabSelected="1" topLeftCell="C1" zoomScale="115" zoomScaleNormal="115" workbookViewId="0">
      <selection activeCell="F7" sqref="F7"/>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36" t="s">
        <v>95</v>
      </c>
      <c r="L2" s="36" t="s">
        <v>12</v>
      </c>
      <c r="N2" s="36" t="s">
        <v>96</v>
      </c>
    </row>
    <row r="3" spans="1:16" ht="18.75" x14ac:dyDescent="0.3">
      <c r="A3" s="33" t="s">
        <v>97</v>
      </c>
      <c r="B3" s="34"/>
      <c r="C3" s="34"/>
      <c r="D3" s="34"/>
      <c r="E3" s="34"/>
      <c r="J3" t="s">
        <v>98</v>
      </c>
      <c r="L3" t="s">
        <v>99</v>
      </c>
      <c r="N3" t="s">
        <v>100</v>
      </c>
      <c r="P3" t="s">
        <v>101</v>
      </c>
    </row>
    <row r="4" spans="1:16" x14ac:dyDescent="0.25">
      <c r="J4" t="s">
        <v>102</v>
      </c>
      <c r="L4" t="s">
        <v>100</v>
      </c>
      <c r="N4" t="s">
        <v>103</v>
      </c>
      <c r="P4" t="s">
        <v>104</v>
      </c>
    </row>
    <row r="5" spans="1:16" x14ac:dyDescent="0.25">
      <c r="A5" s="83" t="s">
        <v>49</v>
      </c>
      <c r="B5" s="84"/>
      <c r="E5" s="3" t="s">
        <v>105</v>
      </c>
      <c r="F5" s="37" t="s">
        <v>106</v>
      </c>
      <c r="G5" s="37" t="s">
        <v>107</v>
      </c>
      <c r="J5" t="s">
        <v>108</v>
      </c>
      <c r="L5" t="s">
        <v>103</v>
      </c>
    </row>
    <row r="6" spans="1:16" x14ac:dyDescent="0.25">
      <c r="A6" s="1" t="s">
        <v>55</v>
      </c>
      <c r="B6" s="2" t="s">
        <v>109</v>
      </c>
      <c r="E6" s="1" t="s">
        <v>110</v>
      </c>
      <c r="F6" s="75">
        <v>69291</v>
      </c>
      <c r="G6" s="45">
        <v>95376</v>
      </c>
      <c r="J6" t="s">
        <v>111</v>
      </c>
    </row>
    <row r="7" spans="1:16" x14ac:dyDescent="0.25">
      <c r="A7" s="1" t="s">
        <v>112</v>
      </c>
      <c r="B7" s="2"/>
      <c r="E7" s="1" t="s">
        <v>113</v>
      </c>
      <c r="F7" s="45">
        <v>4</v>
      </c>
      <c r="G7" s="45">
        <v>8</v>
      </c>
    </row>
    <row r="8" spans="1:16" x14ac:dyDescent="0.25">
      <c r="A8" s="1" t="s">
        <v>114</v>
      </c>
      <c r="B8" s="2" t="s">
        <v>115</v>
      </c>
      <c r="E8" s="6" t="s">
        <v>116</v>
      </c>
      <c r="F8" s="71">
        <f>IF(AND(F6&gt;0,F7&gt;0), F6/F7, "N/A")</f>
        <v>17322.75</v>
      </c>
      <c r="G8" s="71">
        <f>IF(AND(G6&gt;0,G7&gt;0), G6/G7, "N/A")</f>
        <v>11922</v>
      </c>
    </row>
    <row r="9" spans="1:16" x14ac:dyDescent="0.25">
      <c r="A9" s="1" t="s">
        <v>117</v>
      </c>
      <c r="B9" s="2">
        <v>2023</v>
      </c>
      <c r="E9" s="6" t="s">
        <v>118</v>
      </c>
      <c r="F9" s="7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1.806027995</v>
      </c>
      <c r="G9" s="7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1.3145588018500001</v>
      </c>
    </row>
    <row r="10" spans="1:16" x14ac:dyDescent="0.25">
      <c r="A10" s="1" t="s">
        <v>6</v>
      </c>
      <c r="B10" s="45" t="s">
        <v>119</v>
      </c>
      <c r="E10" s="6" t="s">
        <v>120</v>
      </c>
      <c r="F10" s="73">
        <f>IF(OR(F9=FALSE,G9=FALSE),"N/A",(F9-G9))</f>
        <v>0.49146919314999993</v>
      </c>
      <c r="G10" s="74"/>
    </row>
    <row r="11" spans="1:16" x14ac:dyDescent="0.25">
      <c r="A11" s="1" t="s">
        <v>9</v>
      </c>
      <c r="B11" s="45" t="s">
        <v>108</v>
      </c>
      <c r="E11" s="6" t="s">
        <v>121</v>
      </c>
      <c r="F11" s="85">
        <f>IF(OR(F9=FALSE,G9=FALSE,F10=FALSE), "N/A", IF(OR(F10=0.1,AND(0.01&lt;F10,F10&lt;0.1)), 5, (IF(OR(F10=0.2,AND(0.1&lt;F10,F10&lt;0.2)), 10, (IF(OR(F10=0.3,AND(0.2&lt;F10,F10&lt;0.3)), 15, IF(F10&gt;0.3, 20,"N/A")))))))</f>
        <v>20</v>
      </c>
      <c r="G11" s="86"/>
      <c r="H11" s="87"/>
      <c r="I11" s="88"/>
      <c r="J11" s="88"/>
      <c r="K11" s="88"/>
      <c r="L11" s="88"/>
    </row>
    <row r="12" spans="1:16" x14ac:dyDescent="0.25">
      <c r="A12" s="1" t="s">
        <v>12</v>
      </c>
      <c r="B12" s="45" t="s">
        <v>100</v>
      </c>
      <c r="H12" s="87"/>
      <c r="I12" s="88"/>
      <c r="J12" s="88"/>
      <c r="K12" s="88"/>
      <c r="L12" s="88"/>
    </row>
    <row r="13" spans="1:16" x14ac:dyDescent="0.25">
      <c r="A13" s="1" t="s">
        <v>15</v>
      </c>
      <c r="B13" s="45" t="s">
        <v>104</v>
      </c>
    </row>
    <row r="14" spans="1:16" x14ac:dyDescent="0.25">
      <c r="A14" s="1" t="s">
        <v>18</v>
      </c>
      <c r="B14" s="45" t="s">
        <v>100</v>
      </c>
    </row>
    <row r="15" spans="1:16" x14ac:dyDescent="0.25">
      <c r="A15" s="1" t="s">
        <v>22</v>
      </c>
      <c r="B15" s="45" t="s">
        <v>101</v>
      </c>
    </row>
    <row r="16" spans="1:16" x14ac:dyDescent="0.25">
      <c r="A16" s="1" t="s">
        <v>25</v>
      </c>
      <c r="B16" s="45" t="s">
        <v>101</v>
      </c>
    </row>
    <row r="17" spans="1:6" x14ac:dyDescent="0.25">
      <c r="A17" s="1" t="s">
        <v>28</v>
      </c>
      <c r="B17" s="45" t="s">
        <v>104</v>
      </c>
      <c r="F17" s="38"/>
    </row>
    <row r="18" spans="1:6" x14ac:dyDescent="0.25">
      <c r="A18" s="1" t="s">
        <v>122</v>
      </c>
      <c r="B18" s="45"/>
    </row>
    <row r="19" spans="1:6" x14ac:dyDescent="0.25">
      <c r="A19" s="1" t="s">
        <v>34</v>
      </c>
      <c r="B19" s="2"/>
    </row>
    <row r="28" spans="1:6" x14ac:dyDescent="0.25">
      <c r="A28" s="20"/>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0"/>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47" bestFit="1" customWidth="1"/>
    <col min="10" max="10" width="19.5703125" customWidth="1"/>
    <col min="11" max="11" width="17.85546875" customWidth="1"/>
  </cols>
  <sheetData>
    <row r="1" spans="1:11" x14ac:dyDescent="0.25">
      <c r="J1" s="36"/>
      <c r="K1" s="36"/>
    </row>
    <row r="3" spans="1:11" ht="30" x14ac:dyDescent="0.25">
      <c r="A3" s="43" t="s">
        <v>123</v>
      </c>
      <c r="B3" s="44"/>
      <c r="D3" s="11" t="s">
        <v>70</v>
      </c>
      <c r="E3" s="19" t="s">
        <v>124</v>
      </c>
      <c r="F3" s="19" t="s">
        <v>51</v>
      </c>
      <c r="H3" s="10" t="s">
        <v>52</v>
      </c>
      <c r="I3" s="48" t="s">
        <v>125</v>
      </c>
      <c r="J3" s="65" t="s">
        <v>126</v>
      </c>
      <c r="K3" s="65" t="s">
        <v>127</v>
      </c>
    </row>
    <row r="4" spans="1:11" x14ac:dyDescent="0.25">
      <c r="A4" s="39" t="s">
        <v>128</v>
      </c>
      <c r="B4" s="42"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2" t="s">
        <v>129</v>
      </c>
      <c r="E4" s="68">
        <f>+J4</f>
        <v>1.806027995</v>
      </c>
      <c r="F4" s="69">
        <f>+K4</f>
        <v>1.3145588018500001</v>
      </c>
      <c r="H4" s="32">
        <v>2018</v>
      </c>
      <c r="I4" s="49" t="e">
        <f>MIN(#REF!,1)</f>
        <v>#REF!</v>
      </c>
      <c r="J4" s="66">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1.806027995</v>
      </c>
      <c r="K4" s="67">
        <f>'Inputs &amp; Outputs'!G9</f>
        <v>1.3145588018500001</v>
      </c>
    </row>
    <row r="5" spans="1:11" x14ac:dyDescent="0.25">
      <c r="A5" s="39" t="s">
        <v>130</v>
      </c>
      <c r="B5" s="42"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62"/>
      <c r="I5" s="63"/>
      <c r="J5" s="64"/>
      <c r="K5" s="64"/>
    </row>
    <row r="6" spans="1:11" x14ac:dyDescent="0.25">
      <c r="A6" s="39" t="s">
        <v>131</v>
      </c>
      <c r="B6" s="42"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62"/>
      <c r="I6" s="63"/>
      <c r="J6" s="64"/>
      <c r="K6" s="64"/>
    </row>
    <row r="7" spans="1:11" x14ac:dyDescent="0.25">
      <c r="A7" s="36" t="s">
        <v>132</v>
      </c>
      <c r="B7" s="42" t="str">
        <f>IF(AND('Inputs &amp; Outputs'!B11="Access management", 'Inputs &amp; Outputs'!B13="Yes", 'Inputs &amp; Outputs'!B14="Urban principal arterial"),B21*(J4-1),"FALSE")</f>
        <v>FALSE</v>
      </c>
      <c r="H7" s="62"/>
      <c r="I7" s="63"/>
      <c r="J7" s="64"/>
      <c r="K7" s="64"/>
    </row>
    <row r="8" spans="1:11" x14ac:dyDescent="0.25">
      <c r="A8" s="36" t="s">
        <v>133</v>
      </c>
      <c r="B8" s="42" t="str">
        <f>IF(AND('Inputs &amp; Outputs'!B11="Access management", 'Inputs &amp; Outputs'!B13="Yes",'Inputs &amp; Outputs'!B12="Other urban street", 'Inputs &amp; Outputs'!B14="Other urban street"),B22*(J4-1),"FALSE")</f>
        <v>FALSE</v>
      </c>
      <c r="H8" s="62"/>
      <c r="I8" s="63"/>
      <c r="J8" s="64"/>
      <c r="K8" s="64"/>
    </row>
    <row r="9" spans="1:11" x14ac:dyDescent="0.25">
      <c r="A9" s="36" t="s">
        <v>108</v>
      </c>
      <c r="B9" s="42">
        <f>IF('Inputs &amp; Outputs'!B11="Grade separation",B23*(J4-1),"FALSE")</f>
        <v>0.20150699875</v>
      </c>
      <c r="H9" s="62"/>
      <c r="I9" s="63"/>
      <c r="J9" s="64"/>
      <c r="K9" s="64"/>
    </row>
    <row r="10" spans="1:11" x14ac:dyDescent="0.25">
      <c r="A10" s="36" t="s">
        <v>134</v>
      </c>
      <c r="B10" s="42" t="str">
        <f>IF('Inputs &amp; Outputs'!B11="ITS Infrastructure",B24*(J4-1),"FALSE")</f>
        <v>FALSE</v>
      </c>
      <c r="H10" s="62"/>
      <c r="I10" s="63"/>
      <c r="J10" s="64"/>
      <c r="K10" s="64"/>
    </row>
    <row r="11" spans="1:11" x14ac:dyDescent="0.25">
      <c r="H11" s="62"/>
      <c r="I11" s="63"/>
      <c r="J11" s="64"/>
      <c r="K11" s="64"/>
    </row>
    <row r="12" spans="1:11" x14ac:dyDescent="0.25">
      <c r="H12" s="62"/>
      <c r="I12" s="63"/>
      <c r="J12" s="64"/>
      <c r="K12" s="64"/>
    </row>
    <row r="13" spans="1:11" x14ac:dyDescent="0.25">
      <c r="H13" s="62"/>
      <c r="I13" s="63"/>
      <c r="J13" s="64"/>
      <c r="K13" s="64"/>
    </row>
    <row r="14" spans="1:11" x14ac:dyDescent="0.25">
      <c r="H14" s="62"/>
      <c r="I14" s="63"/>
      <c r="J14" s="64"/>
      <c r="K14" s="64"/>
    </row>
    <row r="15" spans="1:11" x14ac:dyDescent="0.25">
      <c r="A15" s="43" t="s">
        <v>135</v>
      </c>
      <c r="B15" s="36"/>
      <c r="H15" s="62"/>
      <c r="I15" s="63"/>
      <c r="J15" s="64"/>
      <c r="K15" s="64"/>
    </row>
    <row r="16" spans="1:11" x14ac:dyDescent="0.25">
      <c r="A16" s="36" t="s">
        <v>136</v>
      </c>
      <c r="B16" s="41" t="s">
        <v>137</v>
      </c>
      <c r="H16" s="62"/>
      <c r="I16" s="63"/>
      <c r="J16" s="64"/>
      <c r="K16" s="64"/>
    </row>
    <row r="17" spans="1:11" x14ac:dyDescent="0.25">
      <c r="A17" s="36" t="s">
        <v>138</v>
      </c>
      <c r="B17" s="41" t="s">
        <v>139</v>
      </c>
      <c r="H17" s="62"/>
      <c r="I17" s="63"/>
      <c r="J17" s="64"/>
      <c r="K17" s="64"/>
    </row>
    <row r="18" spans="1:11" x14ac:dyDescent="0.25">
      <c r="A18" s="36" t="s">
        <v>140</v>
      </c>
      <c r="B18" s="41" t="s">
        <v>141</v>
      </c>
      <c r="H18" s="62"/>
      <c r="I18" s="63"/>
      <c r="J18" s="64"/>
      <c r="K18" s="64"/>
    </row>
    <row r="19" spans="1:11" x14ac:dyDescent="0.25">
      <c r="H19" s="62"/>
      <c r="I19" s="63"/>
      <c r="J19" s="64"/>
      <c r="K19" s="64"/>
    </row>
    <row r="20" spans="1:11" x14ac:dyDescent="0.25">
      <c r="A20" s="43" t="s">
        <v>142</v>
      </c>
      <c r="B20" s="36"/>
      <c r="H20" s="62"/>
      <c r="I20" s="63"/>
      <c r="J20" s="64"/>
      <c r="K20" s="64"/>
    </row>
    <row r="21" spans="1:11" x14ac:dyDescent="0.25">
      <c r="A21" s="36" t="s">
        <v>132</v>
      </c>
      <c r="B21" s="40">
        <v>0.15</v>
      </c>
      <c r="H21" s="62"/>
      <c r="I21" s="63"/>
      <c r="J21" s="64"/>
      <c r="K21" s="64"/>
    </row>
    <row r="22" spans="1:11" x14ac:dyDescent="0.25">
      <c r="A22" s="36" t="s">
        <v>133</v>
      </c>
      <c r="B22" s="40">
        <v>0.12</v>
      </c>
      <c r="H22" s="62"/>
      <c r="I22" s="63"/>
      <c r="J22" s="64"/>
      <c r="K22" s="64"/>
    </row>
    <row r="23" spans="1:11" x14ac:dyDescent="0.25">
      <c r="A23" s="36" t="s">
        <v>108</v>
      </c>
      <c r="B23" s="40">
        <v>0.25</v>
      </c>
      <c r="H23" s="62"/>
      <c r="I23" s="63"/>
      <c r="J23" s="64"/>
      <c r="K23" s="64"/>
    </row>
    <row r="24" spans="1:11" x14ac:dyDescent="0.25">
      <c r="A24" s="36" t="s">
        <v>134</v>
      </c>
      <c r="B24" s="40">
        <v>0.12</v>
      </c>
      <c r="H24" s="62"/>
      <c r="I24" s="63"/>
      <c r="J24" s="64"/>
      <c r="K24" s="64"/>
    </row>
    <row r="25" spans="1:11" x14ac:dyDescent="0.25">
      <c r="H25" s="62"/>
      <c r="I25" s="63"/>
      <c r="J25" s="64"/>
      <c r="K25" s="64"/>
    </row>
    <row r="26" spans="1:11" x14ac:dyDescent="0.25">
      <c r="H26" s="62"/>
      <c r="I26" s="63"/>
      <c r="J26" s="64"/>
      <c r="K26" s="64"/>
    </row>
    <row r="29" spans="1:11" x14ac:dyDescent="0.25">
      <c r="A29" s="46" t="s">
        <v>143</v>
      </c>
    </row>
    <row r="30" spans="1:11" x14ac:dyDescent="0.25">
      <c r="A30" s="35" t="s">
        <v>144</v>
      </c>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852FAD-8B7D-412C-AE9A-6A69E36A8D6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B5D90540-3F5E-474C-9A86-D177C8B4CD2B"/>
    <ds:schemaRef ds:uri="bb691747-8bc2-4259-b27e-e7a3fc70b31c"/>
    <ds:schemaRef ds:uri="http://www.w3.org/XML/1998/namespace"/>
    <ds:schemaRef ds:uri="http://purl.org/dc/dcmitype/"/>
  </ds:schemaRefs>
</ds:datastoreItem>
</file>

<file path=customXml/itemProps2.xml><?xml version="1.0" encoding="utf-8"?>
<ds:datastoreItem xmlns:ds="http://schemas.openxmlformats.org/officeDocument/2006/customXml" ds:itemID="{7AFB969A-4FB8-4FE7-811B-E2237C7478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E30E82-874D-41CF-A3A7-97B0F3706E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Manager/>
  <Company>Houston-Galveston Area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Lauren Osborne</cp:lastModifiedBy>
  <cp:revision/>
  <dcterms:created xsi:type="dcterms:W3CDTF">2012-07-25T15:48:32Z</dcterms:created>
  <dcterms:modified xsi:type="dcterms:W3CDTF">2018-10-29T20:34:46Z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