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70_HW_SH332/"/>
    </mc:Choice>
  </mc:AlternateContent>
  <xr:revisionPtr revIDLastSave="12" documentId="8_{0095249A-DCD0-4FAA-BF78-2EB64E16DB6E}" xr6:coauthVersionLast="40" xr6:coauthVersionMax="40" xr10:uidLastSave="{A015B31B-2F52-40FA-B1A1-4D30044B6328}"/>
  <bookViews>
    <workbookView xWindow="0" yWindow="0" windowWidth="28800" windowHeight="14030"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<sst xmlns="http://schemas.openxmlformats.org/spreadsheetml/2006/main" count="263" uniqueCount="131">
  <si>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</si>
  <si>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</si>
  <si>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</si>
  <si>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</si>
  <si>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</si>
  <si>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</si>
  <si>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</si>
  <si>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</si>
  <si>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</si>
  <si>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</si>
  <si>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</si>
  <si>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</si>
  <si>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</si>
  <si>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</si>
  <si>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</si>
  <si>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</si>
  <si>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</si>
  <si>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</si>
  <si>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</si>
  <si>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</si>
  <si>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</si>
  <si>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</si>
  <si>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</si>
  <si>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</si>
  <si>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</si>
  <si>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</si>
  <si>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</si>
  <si>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</si>
  <si>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</si>
  <si>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</si>
  <si>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</si>
  <si>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</si>
  <si>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</si>
  <si>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</si>
  <si>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</si>
  <si>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</si>
  <si>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</si>
  <si>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</si>
  <si>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</si>
  <si>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</si>
  <si>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</si>
  <si>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</si>
  <si>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</si>
  <si>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</si>
  <si>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</si>
  <si>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</si>
  <si>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</si>
  <si>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332 Widening</t>
  </si>
  <si>
    <t>Data entered by the sponsors</t>
  </si>
  <si>
    <t>Application ID Number:</t>
  </si>
  <si>
    <t>Data populated/calculated based on inputs</t>
  </si>
  <si>
    <t>Sponsor ID Number (CSJ, etc.):</t>
  </si>
  <si>
    <t>1524-01-047</t>
  </si>
  <si>
    <t xml:space="preserve">HGAC regional travel demand model data provided by HGAC </t>
  </si>
  <si>
    <t>Project County</t>
  </si>
  <si>
    <t>Brazoria</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</si>
  <si>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</si>
  <si>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</si>
  <si>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</si>
  <si>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</si>
  <si>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</si>
  <si>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</si>
  <si>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</si>
  <si>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</si>
  <si>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</si>
  <si>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</si>
  <si>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</si>
  <si>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</si>
  <si>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</si>
  <si>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</si>
  <si>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</si>
  <si>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</si>
  <si>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</si>
  <si>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</si>
  <si>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</si>
  <si>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</si>
  <si>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</si>
  <si>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</si>
  <si>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</si>
  <si>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</si>
  <si>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</si>
  <si>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</si>
  <si>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</si>
  <si>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</si>
  <si>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</si>
  <si>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</si>
  <si>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</si>
  <si>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</si>
  <si>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</si>
  <si>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</si>
  <si>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</si>
  <si>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</si>
  <si>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</si>
  <si>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</si>
  <si>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</si>
  <si>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</si>
  <si>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</si>
  <si>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</si>
  <si>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</si>
  <si>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</si>
  <si>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</si>
  <si>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</si>
  <si>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</si>
  <si>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</si>
  <si>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</si>
  <si>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</si>
  <si>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</si>
  <si>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</si>
  <si>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</si>
  <si>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</si>
  <si>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</si>
  <si>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</si>
  <si>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</si>
  <si>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</si>
  <si>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Chambers</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</si>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</sst>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1">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xf numFmtId="2" fontId="0" fillId="0" borderId="0" xfId="0" applyNumberFormat="1" applyProtection="1">
      <protection locked="0"/>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4" zoomScaleNormal="100" workbookViewId="0" xr3:uid="{51F8DEE0-4D01-5F28-A812-FC0BD7CAC4A5}">
      <selection activeCell="C16" sqref="C16:D21"/>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600000000000001">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2026</v>
      </c>
    </row>
    <row r="14" spans="1:5">
      <c r="A14" s="5" t="s">
        <v>59</v>
      </c>
      <c r="B14" s="5" t="s">
        <v>60</v>
      </c>
    </row>
    <row r="15" spans="1:5">
      <c r="A15" s="85" t="s">
        <v>61</v>
      </c>
      <c r="B15" s="8" t="s">
        <v>62</v>
      </c>
    </row>
    <row r="16" spans="1:5">
      <c r="A16" s="85" t="s">
        <v>63</v>
      </c>
      <c r="B16" s="8">
        <v>5.3</v>
      </c>
    </row>
    <row r="17" spans="1:3">
      <c r="A17" s="86" t="s">
        <v>64</v>
      </c>
      <c r="B17" s="8">
        <v>21</v>
      </c>
      <c r="C17" s="100"/>
    </row>
    <row r="18" spans="1:3">
      <c r="A18" s="86" t="s">
        <v>65</v>
      </c>
      <c r="B18" s="8">
        <v>31</v>
      </c>
      <c r="C18" s="100"/>
    </row>
    <row r="19" spans="1:3">
      <c r="A19" s="76" t="s">
        <v>66</v>
      </c>
      <c r="B19" s="77">
        <f>VLOOKUP(B14,'Service Life'!C6:D8,2,FALSE)</f>
        <v>20</v>
      </c>
    </row>
    <row r="21" spans="1:3">
      <c r="A21" s="81" t="s">
        <v>67</v>
      </c>
    </row>
    <row r="22" spans="1:3" ht="20.25" customHeight="1">
      <c r="A22" s="86" t="s">
        <v>68</v>
      </c>
      <c r="B22" s="95">
        <v>16443</v>
      </c>
    </row>
    <row r="23" spans="1:3" ht="29.1">
      <c r="A23" s="94" t="s">
        <v>69</v>
      </c>
      <c r="B23" s="96">
        <v>15111</v>
      </c>
    </row>
    <row r="24" spans="1:3" ht="29.1">
      <c r="A24" s="94" t="s">
        <v>70</v>
      </c>
      <c r="B24" s="96">
        <v>19411</v>
      </c>
    </row>
    <row r="27" spans="1:3" ht="18.600000000000001">
      <c r="A27" s="79" t="s">
        <v>71</v>
      </c>
      <c r="B27" s="80"/>
    </row>
    <row r="29" spans="1:3">
      <c r="A29" s="87" t="s">
        <v>72</v>
      </c>
    </row>
    <row r="30" spans="1:3">
      <c r="A30" s="84" t="s">
        <v>73</v>
      </c>
      <c r="B30" s="35">
        <f>'Benefit Calculations'!M37</f>
        <v>12054.985233414976</v>
      </c>
    </row>
    <row r="31" spans="1:3">
      <c r="A31" s="84" t="s">
        <v>74</v>
      </c>
      <c r="B31" s="35">
        <f>'Benefit Calculations'!Q37</f>
        <v>1101.9788059879336</v>
      </c>
    </row>
    <row r="32" spans="1:3">
      <c r="B32" s="88"/>
    </row>
    <row r="33" spans="1:9">
      <c r="A33" s="87" t="s">
        <v>75</v>
      </c>
      <c r="B33" s="88"/>
    </row>
    <row r="34" spans="1:9">
      <c r="A34" s="84" t="s">
        <v>76</v>
      </c>
      <c r="B34" s="35">
        <f>$B$30+$B$31</f>
        <v>13156.96403940291</v>
      </c>
    </row>
    <row r="35" spans="1:9">
      <c r="I35" s="89"/>
    </row>
    <row r="36" spans="1:9">
      <c r="A36" s="87" t="s">
        <v>77</v>
      </c>
    </row>
    <row r="37" spans="1:9">
      <c r="A37" s="84" t="s">
        <v>78</v>
      </c>
      <c r="B37" s="91">
        <f>'Benefit Calculations'!K37</f>
        <v>4.9827202384165519</v>
      </c>
    </row>
    <row r="38" spans="1:9">
      <c r="A38" s="84" t="s">
        <v>79</v>
      </c>
      <c r="B38" s="91">
        <f>'Benefit Calculations'!O37</f>
        <v>1.7951566282243967</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C6" sqref="C6"/>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7.1587800979600005E-2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1.7726300284300001E-2</v>
      </c>
      <c r="F4" s="54">
        <v>2018</v>
      </c>
      <c r="G4" s="63">
        <f>'Inputs &amp; Outputs'!B22</f>
        <v>16443</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6.1861101537899997E-2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1.42219997942E-2</v>
      </c>
      <c r="F5" s="54">
        <f t="shared" ref="F5:F36" si="2">F4+1</f>
        <v>2019</v>
      </c>
      <c r="G5" s="63">
        <f>G4+G4*H5</f>
        <v>16245.756338338007</v>
      </c>
      <c r="H5" s="62">
        <f>$C$9</f>
        <v>-1.1995600660584582E-2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16050.878732874144</v>
      </c>
      <c r="H6" s="62">
        <f t="shared" ref="H6:H11" si="7">$C$9</f>
        <v>-1.1995600660584582E-2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15858.338801343116</v>
      </c>
      <c r="H7" s="62">
        <f t="shared" si="7"/>
        <v>-1.1995600660584582E-2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15668.10850194195</v>
      </c>
      <c r="H8" s="62">
        <f t="shared" si="7"/>
        <v>-1.1995600660584582E-2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-1.1995600660584582E-2</v>
      </c>
      <c r="F9" s="54">
        <f t="shared" si="2"/>
        <v>2023</v>
      </c>
      <c r="G9" s="63">
        <f t="shared" si="6"/>
        <v>15480.160129245944</v>
      </c>
      <c r="H9" s="62">
        <f t="shared" si="7"/>
        <v>-1.1995600660584582E-2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1.0067013255754764E-2</v>
      </c>
      <c r="F10" s="54">
        <f t="shared" si="2"/>
        <v>2024</v>
      </c>
      <c r="G10" s="63">
        <f t="shared" si="6"/>
        <v>15294.466310173606</v>
      </c>
      <c r="H10" s="62">
        <f t="shared" si="7"/>
        <v>-1.1995600660584582E-2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6.1648531508382565E-3</v>
      </c>
      <c r="F11" s="54">
        <f t="shared" si="2"/>
        <v>2025</v>
      </c>
      <c r="G11" s="63">
        <f>'Inputs &amp; Outputs'!$B$23</f>
        <v>15111</v>
      </c>
      <c r="H11" s="62">
        <f t="shared" si="7"/>
        <v>-1.1995600660584582E-2</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15263.12263730771</v>
      </c>
      <c r="H12" s="62">
        <f>$C$10</f>
        <v>1.0067013255754764E-2</v>
      </c>
      <c r="I12" s="54">
        <f>IF(AND(F12&gt;='Inputs &amp; Outputs'!B$13,F12&lt;'Inputs &amp; Outputs'!B$13+'Inputs &amp; Outputs'!B$19),1,0)</f>
        <v>1</v>
      </c>
      <c r="J12" s="55">
        <f>I12*'Inputs &amp; Outputs'!B$16*'Benefit Calculations'!G12*('Benefit Calculations'!C$4-'Benefit Calculations'!C$5)</f>
        <v>786.83697410496814</v>
      </c>
      <c r="K12" s="71">
        <f t="shared" si="3"/>
        <v>0.22550840101599201</v>
      </c>
      <c r="L12" s="56">
        <f>K12*'Assumed Values'!$C$8</f>
        <v>1693.1170748280681</v>
      </c>
      <c r="M12" s="57">
        <f t="shared" si="0"/>
        <v>985.40955264446109</v>
      </c>
      <c r="N12" s="55">
        <f>I12*'Inputs &amp; Outputs'!B$16*'Benefit Calculations'!G12*('Benefit Calculations'!D$4-'Benefit Calculations'!D$5)</f>
        <v>283.47881113338121</v>
      </c>
      <c r="O12" s="71">
        <f t="shared" si="4"/>
        <v>8.1245360251811213E-2</v>
      </c>
      <c r="P12" s="56">
        <f>ABS(O12*'Assumed Values'!$C$7)</f>
        <v>154.77241127970035</v>
      </c>
      <c r="Q12" s="57">
        <f t="shared" si="1"/>
        <v>90.078952500270262</v>
      </c>
      <c r="T12" s="68">
        <f t="shared" si="5"/>
        <v>0.20457761326729171</v>
      </c>
      <c r="U12" s="69">
        <f>T12*'Assumed Values'!$D$8</f>
        <v>0</v>
      </c>
    </row>
    <row r="13" spans="2:21">
      <c r="C13" s="38"/>
      <c r="F13" s="54">
        <f t="shared" si="2"/>
        <v>2027</v>
      </c>
      <c r="G13" s="63">
        <f t="shared" si="6"/>
        <v>15416.776695221697</v>
      </c>
      <c r="H13" s="62">
        <f t="shared" ref="H13:H36" si="8">$C$10</f>
        <v>1.0067013255754764E-2</v>
      </c>
      <c r="I13" s="54">
        <f>IF(AND(F13&gt;='Inputs &amp; Outputs'!B$13,F13&lt;'Inputs &amp; Outputs'!B$13+'Inputs &amp; Outputs'!B$19),1,0)</f>
        <v>1</v>
      </c>
      <c r="J13" s="55">
        <f>I13*'Inputs &amp; Outputs'!B$16*'Benefit Calculations'!G13*('Benefit Calculations'!C$4-'Benefit Calculations'!C$5)</f>
        <v>794.75807235340085</v>
      </c>
      <c r="K13" s="71">
        <f t="shared" si="3"/>
        <v>0.22777859707830411</v>
      </c>
      <c r="L13" s="56">
        <f>K13*'Assumed Values'!$C$8</f>
        <v>1710.1617068639073</v>
      </c>
      <c r="M13" s="57">
        <f t="shared" si="0"/>
        <v>930.21465763857975</v>
      </c>
      <c r="N13" s="55">
        <f>I13*'Inputs &amp; Outputs'!B$16*'Benefit Calculations'!G13*('Benefit Calculations'!D$4-'Benefit Calculations'!D$5)</f>
        <v>286.33259608278661</v>
      </c>
      <c r="O13" s="71">
        <f t="shared" si="4"/>
        <v>8.2063258370434794E-2</v>
      </c>
      <c r="P13" s="56">
        <f>ABS(O13*'Assumed Values'!$C$7)</f>
        <v>156.33050719567828</v>
      </c>
      <c r="Q13" s="57">
        <f t="shared" si="1"/>
        <v>85.033437859023365</v>
      </c>
      <c r="T13" s="68">
        <f t="shared" si="5"/>
        <v>0.20663709881188422</v>
      </c>
      <c r="U13" s="69">
        <f>T13*'Assumed Values'!$D$8</f>
        <v>0</v>
      </c>
    </row>
    <row r="14" spans="2:21">
      <c r="C14" s="38"/>
      <c r="F14" s="54">
        <f t="shared" si="2"/>
        <v>2028</v>
      </c>
      <c r="G14" s="63">
        <f t="shared" si="6"/>
        <v>15571.977590573504</v>
      </c>
      <c r="H14" s="62">
        <f t="shared" si="8"/>
        <v>1.0067013255754764E-2</v>
      </c>
      <c r="I14" s="54">
        <f>IF(AND(F14&gt;='Inputs &amp; Outputs'!B$13,F14&lt;'Inputs &amp; Outputs'!B$13+'Inputs &amp; Outputs'!B$19),1,0)</f>
        <v>1</v>
      </c>
      <c r="J14" s="55">
        <f>I14*'Inputs &amp; Outputs'!B$16*'Benefit Calculations'!G14*('Benefit Calculations'!C$4-'Benefit Calculations'!C$5)</f>
        <v>802.75891240290059</v>
      </c>
      <c r="K14" s="71">
        <f t="shared" si="3"/>
        <v>0.23007164723446857</v>
      </c>
      <c r="L14" s="56">
        <f>K14*'Assumed Values'!$C$8</f>
        <v>1727.3779274363901</v>
      </c>
      <c r="M14" s="57">
        <f t="shared" si="0"/>
        <v>878.11134666142482</v>
      </c>
      <c r="N14" s="55">
        <f>I14*'Inputs &amp; Outputs'!B$16*'Benefit Calculations'!G14*('Benefit Calculations'!D$4-'Benefit Calculations'!D$5)</f>
        <v>289.21511012310668</v>
      </c>
      <c r="O14" s="71">
        <f t="shared" si="4"/>
        <v>8.2889390280260378E-2</v>
      </c>
      <c r="P14" s="56">
        <f>ABS(O14*'Assumed Values'!$C$7)</f>
        <v>157.90428848389601</v>
      </c>
      <c r="Q14" s="57">
        <f t="shared" si="1"/>
        <v>80.270533275824803</v>
      </c>
      <c r="T14" s="68">
        <f t="shared" si="5"/>
        <v>0.20871731722475417</v>
      </c>
      <c r="U14" s="69">
        <f>T14*'Assumed Values'!$D$8</f>
        <v>0</v>
      </c>
    </row>
    <row r="15" spans="2:21">
      <c r="C15" s="1"/>
      <c r="F15" s="54">
        <f t="shared" si="2"/>
        <v>2029</v>
      </c>
      <c r="G15" s="63">
        <f t="shared" si="6"/>
        <v>15728.740895396124</v>
      </c>
      <c r="H15" s="62">
        <f t="shared" si="8"/>
        <v>1.0067013255754764E-2</v>
      </c>
      <c r="I15" s="54">
        <f>IF(AND(F15&gt;='Inputs &amp; Outputs'!B$13,F15&lt;'Inputs &amp; Outputs'!B$13+'Inputs &amp; Outputs'!B$19),1,0)</f>
        <v>1</v>
      </c>
      <c r="J15" s="55">
        <f>I15*'Inputs &amp; Outputs'!B$16*'Benefit Calculations'!G15*('Benefit Calculations'!C$4-'Benefit Calculations'!C$5)</f>
        <v>810.84029701523582</v>
      </c>
      <c r="K15" s="71">
        <f t="shared" si="3"/>
        <v>0.23238778155695131</v>
      </c>
      <c r="L15" s="56">
        <f>K15*'Assumed Values'!$C$8</f>
        <v>1744.7674639295903</v>
      </c>
      <c r="M15" s="57">
        <f t="shared" si="0"/>
        <v>828.9264534843868</v>
      </c>
      <c r="N15" s="55">
        <f>I15*'Inputs &amp; Outputs'!B$16*'Benefit Calculations'!G15*('Benefit Calculations'!D$4-'Benefit Calculations'!D$5)</f>
        <v>292.12664247048053</v>
      </c>
      <c r="O15" s="71">
        <f t="shared" si="4"/>
        <v>8.3723838870973191E-2</v>
      </c>
      <c r="P15" s="56">
        <f>ABS(O15*'Assumed Values'!$C$7)</f>
        <v>159.49391304920394</v>
      </c>
      <c r="Q15" s="57">
        <f t="shared" si="1"/>
        <v>75.774409157344905</v>
      </c>
      <c r="T15" s="68">
        <f t="shared" si="5"/>
        <v>0.21081847722396133</v>
      </c>
      <c r="U15" s="69">
        <f>T15*'Assumed Values'!$D$8</f>
        <v>0</v>
      </c>
    </row>
    <row r="16" spans="2:21">
      <c r="C16" s="1"/>
      <c r="F16" s="54">
        <f t="shared" si="2"/>
        <v>2030</v>
      </c>
      <c r="G16" s="63">
        <f t="shared" si="6"/>
        <v>15887.082338486409</v>
      </c>
      <c r="H16" s="62">
        <f t="shared" si="8"/>
        <v>1.0067013255754764E-2</v>
      </c>
      <c r="I16" s="54">
        <f>IF(AND(F16&gt;='Inputs &amp; Outputs'!B$13,F16&lt;'Inputs &amp; Outputs'!B$13+'Inputs &amp; Outputs'!B$19),1,0)</f>
        <v>1</v>
      </c>
      <c r="J16" s="55">
        <f>I16*'Inputs &amp; Outputs'!B$16*'Benefit Calculations'!G16*('Benefit Calculations'!C$4-'Benefit Calculations'!C$5)</f>
        <v>819.00303703358838</v>
      </c>
      <c r="K16" s="71">
        <f t="shared" si="3"/>
        <v>0.23472723243436058</v>
      </c>
      <c r="L16" s="56">
        <f>K16*'Assumed Values'!$C$8</f>
        <v>1762.3320611171794</v>
      </c>
      <c r="M16" s="57">
        <f t="shared" si="0"/>
        <v>782.49651128940206</v>
      </c>
      <c r="N16" s="55">
        <f>I16*'Inputs &amp; Outputs'!B$16*'Benefit Calculations'!G16*('Benefit Calculations'!D$4-'Benefit Calculations'!D$5)</f>
        <v>295.06748525259002</v>
      </c>
      <c r="O16" s="71">
        <f t="shared" si="4"/>
        <v>8.4566687866709955E-2</v>
      </c>
      <c r="P16" s="56">
        <f>ABS(O16*'Assumed Values'!$C$7)</f>
        <v>161.09954038608245</v>
      </c>
      <c r="Q16" s="57">
        <f t="shared" si="1"/>
        <v>71.530122559606426</v>
      </c>
      <c r="T16" s="68">
        <f t="shared" si="5"/>
        <v>0.21294078962873297</v>
      </c>
      <c r="U16" s="69">
        <f>T16*'Assumed Values'!$D$8</f>
        <v>0</v>
      </c>
    </row>
    <row r="17" spans="3:21">
      <c r="C17" s="1"/>
      <c r="F17" s="54">
        <f t="shared" si="2"/>
        <v>2031</v>
      </c>
      <c r="G17" s="63">
        <f t="shared" si="6"/>
        <v>16047.017806983218</v>
      </c>
      <c r="H17" s="62">
        <f t="shared" si="8"/>
        <v>1.0067013255754764E-2</v>
      </c>
      <c r="I17" s="54">
        <f>IF(AND(F17&gt;='Inputs &amp; Outputs'!B$13,F17&lt;'Inputs &amp; Outputs'!B$13+'Inputs &amp; Outputs'!B$19),1,0)</f>
        <v>1</v>
      </c>
      <c r="J17" s="55">
        <f>I17*'Inputs &amp; Outputs'!B$16*'Benefit Calculations'!G17*('Benefit Calculations'!C$4-'Benefit Calculations'!C$5)</f>
        <v>827.24795146390886</v>
      </c>
      <c r="K17" s="71">
        <f t="shared" si="3"/>
        <v>0.23709023459476392</v>
      </c>
      <c r="L17" s="56">
        <f>K17*'Assumed Values'!$C$8</f>
        <v>1780.0734813374875</v>
      </c>
      <c r="M17" s="57">
        <f t="shared" si="0"/>
        <v>738.66720938423759</v>
      </c>
      <c r="N17" s="55">
        <f>I17*'Inputs &amp; Outputs'!B$16*'Benefit Calculations'!G17*('Benefit Calculations'!D$4-'Benefit Calculations'!D$5)</f>
        <v>298.03793353797005</v>
      </c>
      <c r="O17" s="71">
        <f t="shared" si="4"/>
        <v>8.5418021834459387E-2</v>
      </c>
      <c r="P17" s="56">
        <f>ABS(O17*'Assumed Values'!$C$7)</f>
        <v>162.72133159464514</v>
      </c>
      <c r="Q17" s="57">
        <f t="shared" si="1"/>
        <v>67.523567524859573</v>
      </c>
      <c r="T17" s="68">
        <f t="shared" si="5"/>
        <v>0.21508446738061629</v>
      </c>
      <c r="U17" s="69">
        <f>T17*'Assumed Values'!$D$8</f>
        <v>0</v>
      </c>
    </row>
    <row r="18" spans="3:21">
      <c r="F18" s="54">
        <f t="shared" si="2"/>
        <v>2032</v>
      </c>
      <c r="G18" s="63">
        <f t="shared" si="6"/>
        <v>16208.563347961452</v>
      </c>
      <c r="H18" s="62">
        <f t="shared" si="8"/>
        <v>1.0067013255754764E-2</v>
      </c>
      <c r="I18" s="54">
        <f>IF(AND(F18&gt;='Inputs &amp; Outputs'!B$13,F18&lt;'Inputs &amp; Outputs'!B$13+'Inputs &amp; Outputs'!B$19),1,0)</f>
        <v>1</v>
      </c>
      <c r="J18" s="55">
        <f>I18*'Inputs &amp; Outputs'!B$16*'Benefit Calculations'!G18*('Benefit Calculations'!C$4-'Benefit Calculations'!C$5)</f>
        <v>835.57586755709212</v>
      </c>
      <c r="K18" s="71">
        <f t="shared" si="3"/>
        <v>0.23947702512923943</v>
      </c>
      <c r="L18" s="56">
        <f>K18*'Assumed Values'!$C$8</f>
        <v>1797.9935046703297</v>
      </c>
      <c r="M18" s="57">
        <f t="shared" si="0"/>
        <v>697.29288034831791</v>
      </c>
      <c r="N18" s="55">
        <f>I18*'Inputs &amp; Outputs'!B$16*'Benefit Calculations'!G18*('Benefit Calculations'!D$4-'Benefit Calculations'!D$5)</f>
        <v>301.03828536561457</v>
      </c>
      <c r="O18" s="71">
        <f t="shared" si="4"/>
        <v>8.6277926192547247E-2</v>
      </c>
      <c r="P18" s="56">
        <f>ABS(O18*'Assumed Values'!$C$7)</f>
        <v>164.35944939680252</v>
      </c>
      <c r="Q18" s="57">
        <f t="shared" si="1"/>
        <v>63.741428200194576</v>
      </c>
      <c r="T18" s="68">
        <f t="shared" si="5"/>
        <v>0.21724972556484395</v>
      </c>
      <c r="U18" s="69">
        <f>T18*'Assumed Values'!$D$8</f>
        <v>0</v>
      </c>
    </row>
    <row r="19" spans="3:21">
      <c r="F19" s="54">
        <f t="shared" si="2"/>
        <v>2033</v>
      </c>
      <c r="G19" s="63">
        <f t="shared" si="6"/>
        <v>16371.73517004212</v>
      </c>
      <c r="H19" s="62">
        <f t="shared" si="8"/>
        <v>1.0067013255754764E-2</v>
      </c>
      <c r="I19" s="54">
        <f>IF(AND(F19&gt;='Inputs &amp; Outputs'!B$13,F19&lt;'Inputs &amp; Outputs'!B$13+'Inputs &amp; Outputs'!B$19),1,0)</f>
        <v>1</v>
      </c>
      <c r="J19" s="55">
        <f>I19*'Inputs &amp; Outputs'!B$16*'Benefit Calculations'!G19*('Benefit Calculations'!C$4-'Benefit Calculations'!C$5)</f>
        <v>843.98762089197805</v>
      </c>
      <c r="K19" s="71">
        <f t="shared" si="3"/>
        <v>0.24188784351566417</v>
      </c>
      <c r="L19" s="56">
        <f>K19*'Assumed Values'!$C$8</f>
        <v>1816.0939291156067</v>
      </c>
      <c r="M19" s="57">
        <f t="shared" si="0"/>
        <v>658.23601590460532</v>
      </c>
      <c r="N19" s="55">
        <f>I19*'Inputs &amp; Outputs'!B$16*'Benefit Calculations'!G19*('Benefit Calculations'!D$4-'Benefit Calculations'!D$5)</f>
        <v>304.0688417748799</v>
      </c>
      <c r="O19" s="71">
        <f t="shared" si="4"/>
        <v>8.7146487219206661E-2</v>
      </c>
      <c r="P19" s="56">
        <f>ABS(O19*'Assumed Values'!$C$7)</f>
        <v>166.01405815258869</v>
      </c>
      <c r="Q19" s="57">
        <f t="shared" si="1"/>
        <v>60.171134582081002</v>
      </c>
      <c r="T19" s="68">
        <f t="shared" si="5"/>
        <v>0.21943678143191431</v>
      </c>
      <c r="U19" s="69">
        <f>T19*'Assumed Values'!$D$8</f>
        <v>0</v>
      </c>
    </row>
    <row r="20" spans="3:21">
      <c r="F20" s="54">
        <f t="shared" si="2"/>
        <v>2034</v>
      </c>
      <c r="G20" s="63">
        <f t="shared" si="6"/>
        <v>16536.54964501864</v>
      </c>
      <c r="H20" s="62">
        <f t="shared" si="8"/>
        <v>1.0067013255754764E-2</v>
      </c>
      <c r="I20" s="54">
        <f>IF(AND(F20&gt;='Inputs &amp; Outputs'!B$13,F20&lt;'Inputs &amp; Outputs'!B$13+'Inputs &amp; Outputs'!B$19),1,0)</f>
        <v>1</v>
      </c>
      <c r="J20" s="55">
        <f>I20*'Inputs &amp; Outputs'!B$16*'Benefit Calculations'!G20*('Benefit Calculations'!C$4-'Benefit Calculations'!C$5)</f>
        <v>852.48405545919059</v>
      </c>
      <c r="K20" s="71">
        <f t="shared" si="3"/>
        <v>0.24432293164274232</v>
      </c>
      <c r="L20" s="56">
        <f>K20*'Assumed Values'!$C$8</f>
        <v>1834.3765707737093</v>
      </c>
      <c r="M20" s="57">
        <f t="shared" si="0"/>
        <v>621.36680990853483</v>
      </c>
      <c r="N20" s="55">
        <f>I20*'Inputs &amp; Outputs'!B$16*'Benefit Calculations'!G20*('Benefit Calculations'!D$4-'Benefit Calculations'!D$5)</f>
        <v>307.12990683568961</v>
      </c>
      <c r="O20" s="71">
        <f t="shared" si="4"/>
        <v>8.8023792061234882E-2</v>
      </c>
      <c r="P20" s="56">
        <f>ABS(O20*'Assumed Values'!$C$7)</f>
        <v>167.68532387665246</v>
      </c>
      <c r="Q20" s="57">
        <f t="shared" si="1"/>
        <v>56.800820739750122</v>
      </c>
      <c r="T20" s="68">
        <f t="shared" si="5"/>
        <v>0.22164585441938955</v>
      </c>
      <c r="U20" s="69">
        <f>T20*'Assumed Values'!$D$8</f>
        <v>0</v>
      </c>
    </row>
    <row r="21" spans="3:21">
      <c r="F21" s="54">
        <f t="shared" si="2"/>
        <v>2035</v>
      </c>
      <c r="G21" s="63">
        <f t="shared" si="6"/>
        <v>16703.023309499491</v>
      </c>
      <c r="H21" s="62">
        <f t="shared" si="8"/>
        <v>1.0067013255754764E-2</v>
      </c>
      <c r="I21" s="54">
        <f>IF(AND(F21&gt;='Inputs &amp; Outputs'!B$13,F21&lt;'Inputs &amp; Outputs'!B$13+'Inputs &amp; Outputs'!B$19),1,0)</f>
        <v>1</v>
      </c>
      <c r="J21" s="55">
        <f>I21*'Inputs &amp; Outputs'!B$16*'Benefit Calculations'!G21*('Benefit Calculations'!C$4-'Benefit Calculations'!C$5)</f>
        <v>861.06602374581792</v>
      </c>
      <c r="K21" s="71">
        <f t="shared" si="3"/>
        <v>0.24678253383427468</v>
      </c>
      <c r="L21" s="56">
        <f>K21*'Assumed Values'!$C$8</f>
        <v>1852.8432640277342</v>
      </c>
      <c r="M21" s="57">
        <f t="shared" si="0"/>
        <v>586.56272693511232</v>
      </c>
      <c r="N21" s="55">
        <f>I21*'Inputs &amp; Outputs'!B$16*'Benefit Calculations'!G21*('Benefit Calculations'!D$4-'Benefit Calculations'!D$5)</f>
        <v>310.22178767904325</v>
      </c>
      <c r="O21" s="71">
        <f t="shared" si="4"/>
        <v>8.8909928742737135E-2</v>
      </c>
      <c r="P21" s="56">
        <f>ABS(O21*'Assumed Values'!$C$7)</f>
        <v>169.37341425491425</v>
      </c>
      <c r="Q21" s="57">
        <f t="shared" si="1"/>
        <v>53.619285378574709</v>
      </c>
      <c r="T21" s="68">
        <f t="shared" si="5"/>
        <v>0.22387716617391268</v>
      </c>
      <c r="U21" s="69">
        <f>T21*'Assumed Values'!$D$8</f>
        <v>0</v>
      </c>
    </row>
    <row r="22" spans="3:21">
      <c r="F22" s="54">
        <f t="shared" si="2"/>
        <v>2036</v>
      </c>
      <c r="G22" s="63">
        <f t="shared" si="6"/>
        <v>16871.172866567402</v>
      </c>
      <c r="H22" s="62">
        <f t="shared" si="8"/>
        <v>1.0067013255754764E-2</v>
      </c>
      <c r="I22" s="54">
        <f>IF(AND(F22&gt;='Inputs &amp; Outputs'!B$13,F22&lt;'Inputs &amp; Outputs'!B$13+'Inputs &amp; Outputs'!B$19),1,0)</f>
        <v>1</v>
      </c>
      <c r="J22" s="55">
        <f>I22*'Inputs &amp; Outputs'!B$16*'Benefit Calculations'!G22*('Benefit Calculations'!C$4-'Benefit Calculations'!C$5)</f>
        <v>869.73438682094707</v>
      </c>
      <c r="K22" s="71">
        <f t="shared" si="3"/>
        <v>0.24926689687367307</v>
      </c>
      <c r="L22" s="56">
        <f>K22*'Assumed Values'!$C$8</f>
        <v>1871.4958617275374</v>
      </c>
      <c r="M22" s="57">
        <f t="shared" si="0"/>
        <v>553.70809503037356</v>
      </c>
      <c r="N22" s="55">
        <f>I22*'Inputs &amp; Outputs'!B$16*'Benefit Calculations'!G22*('Benefit Calculations'!D$4-'Benefit Calculations'!D$5)</f>
        <v>313.34479452783211</v>
      </c>
      <c r="O22" s="71">
        <f t="shared" si="4"/>
        <v>8.9804986173958476E-2</v>
      </c>
      <c r="P22" s="56">
        <f>ABS(O22*'Assumed Values'!$C$7)</f>
        <v>171.07849866139091</v>
      </c>
      <c r="Q22" s="57">
        <f t="shared" si="1"/>
        <v>50.615954612378424</v>
      </c>
      <c r="T22" s="68">
        <f t="shared" si="5"/>
        <v>0.22613094057344624</v>
      </c>
      <c r="U22" s="69">
        <f>T22*'Assumed Values'!$D$8</f>
        <v>0</v>
      </c>
    </row>
    <row r="23" spans="3:21">
      <c r="F23" s="54">
        <f t="shared" si="2"/>
        <v>2037</v>
      </c>
      <c r="G23" s="63">
        <f t="shared" si="6"/>
        <v>17041.015187455265</v>
      </c>
      <c r="H23" s="62">
        <f t="shared" si="8"/>
        <v>1.0067013255754764E-2</v>
      </c>
      <c r="I23" s="54">
        <f>IF(AND(F23&gt;='Inputs &amp; Outputs'!B$13,F23&lt;'Inputs &amp; Outputs'!B$13+'Inputs &amp; Outputs'!B$19),1,0)</f>
        <v>1</v>
      </c>
      <c r="J23" s="55">
        <f>I23*'Inputs &amp; Outputs'!B$16*'Benefit Calculations'!G23*('Benefit Calculations'!C$4-'Benefit Calculations'!C$5)</f>
        <v>878.49001442205918</v>
      </c>
      <c r="K23" s="71">
        <f t="shared" si="3"/>
        <v>0.25177627002872116</v>
      </c>
      <c r="L23" s="56">
        <f>K23*'Assumed Values'!$C$8</f>
        <v>1890.3362353756386</v>
      </c>
      <c r="M23" s="57">
        <f t="shared" si="0"/>
        <v>522.69372127370377</v>
      </c>
      <c r="N23" s="55">
        <f>I23*'Inputs &amp; Outputs'!B$16*'Benefit Calculations'!G23*('Benefit Calculations'!D$4-'Benefit Calculations'!D$5)</f>
        <v>316.49924072796551</v>
      </c>
      <c r="O23" s="71">
        <f t="shared" si="4"/>
        <v>9.0709054160204569E-2</v>
      </c>
      <c r="P23" s="56">
        <f>ABS(O23*'Assumed Values'!$C$7)</f>
        <v>172.80074817518971</v>
      </c>
      <c r="Q23" s="57">
        <f t="shared" si="1"/>
        <v>47.780846820947573</v>
      </c>
      <c r="T23" s="68">
        <f t="shared" si="5"/>
        <v>0.22840740374973539</v>
      </c>
      <c r="U23" s="69">
        <f>T23*'Assumed Values'!$D$8</f>
        <v>0</v>
      </c>
    </row>
    <row r="24" spans="3:21">
      <c r="F24" s="54">
        <f t="shared" si="2"/>
        <v>2038</v>
      </c>
      <c r="G24" s="63">
        <f t="shared" si="6"/>
        <v>17212.567313238895</v>
      </c>
      <c r="H24" s="62">
        <f t="shared" si="8"/>
        <v>1.0067013255754764E-2</v>
      </c>
      <c r="I24" s="54">
        <f>IF(AND(F24&gt;='Inputs &amp; Outputs'!B$13,F24&lt;'Inputs &amp; Outputs'!B$13+'Inputs &amp; Outputs'!B$19),1,0)</f>
        <v>1</v>
      </c>
      <c r="J24" s="55">
        <f>I24*'Inputs &amp; Outputs'!B$16*'Benefit Calculations'!G24*('Benefit Calculations'!C$4-'Benefit Calculations'!C$5)</f>
        <v>887.33378504229415</v>
      </c>
      <c r="K24" s="71">
        <f t="shared" si="3"/>
        <v>0.25431090507658477</v>
      </c>
      <c r="L24" s="56">
        <f>K24*'Assumed Values'!$C$8</f>
        <v>1909.3662753149983</v>
      </c>
      <c r="M24" s="57">
        <f t="shared" si="0"/>
        <v>493.41652887333254</v>
      </c>
      <c r="N24" s="55">
        <f>I24*'Inputs &amp; Outputs'!B$16*'Benefit Calculations'!G24*('Benefit Calculations'!D$4-'Benefit Calculations'!D$5)</f>
        <v>319.68544277981022</v>
      </c>
      <c r="O24" s="71">
        <f t="shared" si="4"/>
        <v>9.1622223410852327E-2</v>
      </c>
      <c r="P24" s="56">
        <f>ABS(O24*'Assumed Values'!$C$7)</f>
        <v>174.54033559767367</v>
      </c>
      <c r="Q24" s="57">
        <f t="shared" si="1"/>
        <v>45.104539475948819</v>
      </c>
      <c r="T24" s="68">
        <f t="shared" si="5"/>
        <v>0.23070678411099649</v>
      </c>
      <c r="U24" s="69">
        <f>T24*'Assumed Values'!$D$8</f>
        <v>0</v>
      </c>
    </row>
    <row r="25" spans="3:21">
      <c r="F25" s="54">
        <f t="shared" si="2"/>
        <v>2039</v>
      </c>
      <c r="G25" s="63">
        <f t="shared" si="6"/>
        <v>17385.846456546842</v>
      </c>
      <c r="H25" s="62">
        <f t="shared" si="8"/>
        <v>1.0067013255754764E-2</v>
      </c>
      <c r="I25" s="54">
        <f>IF(AND(F25&gt;='Inputs &amp; Outputs'!B$13,F25&lt;'Inputs &amp; Outputs'!B$13+'Inputs &amp; Outputs'!B$19),1,0)</f>
        <v>1</v>
      </c>
      <c r="J25" s="55">
        <f>I25*'Inputs &amp; Outputs'!B$16*'Benefit Calculations'!G25*('Benefit Calculations'!C$4-'Benefit Calculations'!C$5)</f>
        <v>896.26658601859401</v>
      </c>
      <c r="K25" s="71">
        <f t="shared" si="3"/>
        <v>0.25687105632907375</v>
      </c>
      <c r="L25" s="56">
        <f>K25*'Assumed Values'!$C$8</f>
        <v>1928.5878909186858</v>
      </c>
      <c r="M25" s="57">
        <f t="shared" si="0"/>
        <v>465.77921458888687</v>
      </c>
      <c r="N25" s="55">
        <f>I25*'Inputs &amp; Outputs'!B$16*'Benefit Calculations'!G25*('Benefit Calculations'!D$4-'Benefit Calculations'!D$5)</f>
        <v>322.90372036994643</v>
      </c>
      <c r="O25" s="71">
        <f t="shared" si="4"/>
        <v>9.2544585548451117E-2</v>
      </c>
      <c r="P25" s="56">
        <f>ABS(O25*'Assumed Values'!$C$7)</f>
        <v>176.29743546979938</v>
      </c>
      <c r="Q25" s="57">
        <f t="shared" si="1"/>
        <v>42.578137824998052</v>
      </c>
      <c r="T25" s="68">
        <f t="shared" si="5"/>
        <v>0.23302931236483446</v>
      </c>
      <c r="U25" s="69">
        <f>T25*'Assumed Values'!$D$8</f>
        <v>0</v>
      </c>
    </row>
    <row r="26" spans="3:21">
      <c r="F26" s="54">
        <f t="shared" si="2"/>
        <v>2040</v>
      </c>
      <c r="G26" s="63">
        <f t="shared" si="6"/>
        <v>17560.870003287415</v>
      </c>
      <c r="H26" s="62">
        <f t="shared" si="8"/>
        <v>1.0067013255754764E-2</v>
      </c>
      <c r="I26" s="54">
        <f>IF(AND(F26&gt;='Inputs &amp; Outputs'!B$13,F26&lt;'Inputs &amp; Outputs'!B$13+'Inputs &amp; Outputs'!B$19),1,0)</f>
        <v>1</v>
      </c>
      <c r="J26" s="55">
        <f>I26*'Inputs &amp; Outputs'!B$16*'Benefit Calculations'!G26*('Benefit Calculations'!C$4-'Benefit Calculations'!C$5)</f>
        <v>905.2893136207332</v>
      </c>
      <c r="K26" s="71">
        <f t="shared" si="3"/>
        <v>0.25945698065815825</v>
      </c>
      <c r="L26" s="56">
        <f>K26*'Assumed Values'!$C$8</f>
        <v>1948.0030107814521</v>
      </c>
      <c r="M26" s="57">
        <f t="shared" si="0"/>
        <v>439.68992534243756</v>
      </c>
      <c r="N26" s="55">
        <f>I26*'Inputs &amp; Outputs'!B$16*'Benefit Calculations'!G26*('Benefit Calculations'!D$4-'Benefit Calculations'!D$5)</f>
        <v>326.15439640324314</v>
      </c>
      <c r="O26" s="71">
        <f t="shared" si="4"/>
        <v>9.3476233117915669E-2</v>
      </c>
      <c r="P26" s="56">
        <f>ABS(O26*'Assumed Values'!$C$7)</f>
        <v>178.07222408962934</v>
      </c>
      <c r="Q26" s="57">
        <f t="shared" si="1"/>
        <v>40.193245329801542</v>
      </c>
      <c r="T26" s="68">
        <f t="shared" si="5"/>
        <v>0.23537522154139065</v>
      </c>
      <c r="U26" s="69">
        <f>T26*'Assumed Values'!$D$8</f>
        <v>0</v>
      </c>
    </row>
    <row r="27" spans="3:21">
      <c r="F27" s="54">
        <f t="shared" si="2"/>
        <v>2041</v>
      </c>
      <c r="G27" s="63">
        <f t="shared" si="6"/>
        <v>17737.655514393096</v>
      </c>
      <c r="H27" s="62">
        <f t="shared" si="8"/>
        <v>1.0067013255754764E-2</v>
      </c>
      <c r="I27" s="54">
        <f>IF(AND(F27&gt;='Inputs &amp; Outputs'!B$13,F27&lt;'Inputs &amp; Outputs'!B$13+'Inputs &amp; Outputs'!B$19),1,0)</f>
        <v>1</v>
      </c>
      <c r="J27" s="55">
        <f>I27*'Inputs &amp; Outputs'!B$16*'Benefit Calculations'!G27*('Benefit Calculations'!C$4-'Benefit Calculations'!C$5)</f>
        <v>914.40287314124635</v>
      </c>
      <c r="K27" s="71">
        <f t="shared" si="3"/>
        <v>0.26206893752174204</v>
      </c>
      <c r="L27" s="56">
        <f>K27*'Assumed Values'!$C$8</f>
        <v>1967.6135829132393</v>
      </c>
      <c r="M27" s="57">
        <f t="shared" si="0"/>
        <v>415.06195294325391</v>
      </c>
      <c r="N27" s="55">
        <f>I27*'Inputs &amp; Outputs'!B$16*'Benefit Calculations'!G27*('Benefit Calculations'!D$4-'Benefit Calculations'!D$5)</f>
        <v>329.43779703525735</v>
      </c>
      <c r="O27" s="71">
        <f t="shared" si="4"/>
        <v>9.4417259595811764E-2</v>
      </c>
      <c r="P27" s="56">
        <f>ABS(O27*'Assumed Values'!$C$7)</f>
        <v>179.8648795300214</v>
      </c>
      <c r="Q27" s="57">
        <f t="shared" si="1"/>
        <v>37.941935760120053</v>
      </c>
      <c r="T27" s="68">
        <f t="shared" si="5"/>
        <v>0.23774474701672405</v>
      </c>
      <c r="U27" s="69">
        <f>T27*'Assumed Values'!$D$8</f>
        <v>0</v>
      </c>
    </row>
    <row r="28" spans="3:21">
      <c r="F28" s="54">
        <f t="shared" si="2"/>
        <v>2042</v>
      </c>
      <c r="G28" s="63">
        <f t="shared" si="6"/>
        <v>17916.220727582502</v>
      </c>
      <c r="H28" s="62">
        <f t="shared" si="8"/>
        <v>1.0067013255754764E-2</v>
      </c>
      <c r="I28" s="54">
        <f>IF(AND(F28&gt;='Inputs &amp; Outputs'!B$13,F28&lt;'Inputs &amp; Outputs'!B$13+'Inputs &amp; Outputs'!B$19),1,0)</f>
        <v>1</v>
      </c>
      <c r="J28" s="55">
        <f>I28*'Inputs &amp; Outputs'!B$16*'Benefit Calculations'!G28*('Benefit Calculations'!C$4-'Benefit Calculations'!C$5)</f>
        <v>923.60817898625953</v>
      </c>
      <c r="K28" s="71">
        <f t="shared" si="3"/>
        <v>0.26470718898969503</v>
      </c>
      <c r="L28" s="56">
        <f>K28*'Assumed Values'!$C$8</f>
        <v>1987.4215749346304</v>
      </c>
      <c r="M28" s="57">
        <f t="shared" si="0"/>
        <v>391.8134459116759</v>
      </c>
      <c r="N28" s="55">
        <f>I28*'Inputs &amp; Outputs'!B$16*'Benefit Calculations'!G28*('Benefit Calculations'!D$4-'Benefit Calculations'!D$5)</f>
        <v>332.75425170495794</v>
      </c>
      <c r="O28" s="71">
        <f t="shared" si="4"/>
        <v>9.5367759399734853E-2</v>
      </c>
      <c r="P28" s="56">
        <f>ABS(O28*'Assumed Values'!$C$7)</f>
        <v>181.6755816564949</v>
      </c>
      <c r="Q28" s="57">
        <f t="shared" si="1"/>
        <v>35.816726850809516</v>
      </c>
      <c r="T28" s="68">
        <f t="shared" si="5"/>
        <v>0.24013812653642747</v>
      </c>
      <c r="U28" s="69">
        <f>T28*'Assumed Values'!$D$8</f>
        <v>0</v>
      </c>
    </row>
    <row r="29" spans="3:21">
      <c r="F29" s="54">
        <f t="shared" si="2"/>
        <v>2043</v>
      </c>
      <c r="G29" s="63">
        <f t="shared" si="6"/>
        <v>18096.583559140105</v>
      </c>
      <c r="H29" s="62">
        <f t="shared" si="8"/>
        <v>1.0067013255754764E-2</v>
      </c>
      <c r="I29" s="54">
        <f>IF(AND(F29&gt;='Inputs &amp; Outputs'!B$13,F29&lt;'Inputs &amp; Outputs'!B$13+'Inputs &amp; Outputs'!B$19),1,0)</f>
        <v>1</v>
      </c>
      <c r="J29" s="55">
        <f>I29*'Inputs &amp; Outputs'!B$16*'Benefit Calculations'!G29*('Benefit Calculations'!C$4-'Benefit Calculations'!C$5)</f>
        <v>932.90615476723769</v>
      </c>
      <c r="K29" s="71">
        <f t="shared" si="3"/>
        <v>0.26737199977014781</v>
      </c>
      <c r="L29" s="56">
        <f>K29*'Assumed Values'!$C$8</f>
        <v>2007.4289742742696</v>
      </c>
      <c r="M29" s="57">
        <f t="shared" si="0"/>
        <v>369.86713744434724</v>
      </c>
      <c r="N29" s="55">
        <f>I29*'Inputs &amp; Outputs'!B$16*'Benefit Calculations'!G29*('Benefit Calculations'!D$4-'Benefit Calculations'!D$5)</f>
        <v>336.10409316778049</v>
      </c>
      <c r="O29" s="71">
        <f t="shared" si="4"/>
        <v>9.6327827897783602E-2</v>
      </c>
      <c r="P29" s="56">
        <f>ABS(O29*'Assumed Values'!$C$7)</f>
        <v>183.50451214527777</v>
      </c>
      <c r="Q29" s="57">
        <f t="shared" si="1"/>
        <v>33.810555434387254</v>
      </c>
      <c r="T29" s="68">
        <f t="shared" si="5"/>
        <v>0.24255560023948181</v>
      </c>
      <c r="U29" s="69">
        <f>T29*'Assumed Values'!$D$8</f>
        <v>0</v>
      </c>
    </row>
    <row r="30" spans="3:21">
      <c r="F30" s="54">
        <f t="shared" si="2"/>
        <v>2044</v>
      </c>
      <c r="G30" s="63">
        <f t="shared" si="6"/>
        <v>18278.762105713842</v>
      </c>
      <c r="H30" s="62">
        <f t="shared" si="8"/>
        <v>1.0067013255754764E-2</v>
      </c>
      <c r="I30" s="54">
        <f>IF(AND(F30&gt;='Inputs &amp; Outputs'!B$13,F30&lt;'Inputs &amp; Outputs'!B$13+'Inputs &amp; Outputs'!B$19),1,0)</f>
        <v>1</v>
      </c>
      <c r="J30" s="55">
        <f>I30*'Inputs &amp; Outputs'!B$16*'Benefit Calculations'!G30*('Benefit Calculations'!C$4-'Benefit Calculations'!C$5)</f>
        <v>942.29773339365477</v>
      </c>
      <c r="K30" s="71">
        <f t="shared" si="3"/>
        <v>0.27006363723605159</v>
      </c>
      <c r="L30" s="56">
        <f>K30*'Assumed Values'!$C$8</f>
        <v>2027.6377883682753</v>
      </c>
      <c r="M30" s="57">
        <f t="shared" si="0"/>
        <v>349.15008861669872</v>
      </c>
      <c r="N30" s="55">
        <f>I30*'Inputs &amp; Outputs'!B$16*'Benefit Calculations'!G30*('Benefit Calculations'!D$4-'Benefit Calculations'!D$5)</f>
        <v>339.48765752901397</v>
      </c>
      <c r="O30" s="71">
        <f t="shared" si="4"/>
        <v>9.7297561418128661E-2</v>
      </c>
      <c r="P30" s="56">
        <f>ABS(O30*'Assumed Values'!$C$7)</f>
        <v>185.35185450153509</v>
      </c>
      <c r="Q30" s="57">
        <f t="shared" si="1"/>
        <v>31.916753966476321</v>
      </c>
      <c r="T30" s="68">
        <f t="shared" si="5"/>
        <v>0.24499741068235026</v>
      </c>
      <c r="U30" s="69">
        <f>T30*'Assumed Values'!$D$8</f>
        <v>0</v>
      </c>
    </row>
    <row r="31" spans="3:21">
      <c r="F31" s="54">
        <f t="shared" si="2"/>
        <v>2045</v>
      </c>
      <c r="G31" s="63">
        <f>'Inputs &amp; Outputs'!$B$24</f>
        <v>19411</v>
      </c>
      <c r="H31" s="62">
        <f t="shared" si="8"/>
        <v>1.0067013255754764E-2</v>
      </c>
      <c r="I31" s="54">
        <f>IF(AND(F31&gt;='Inputs &amp; Outputs'!B$13,F31&lt;'Inputs &amp; Outputs'!B$13+'Inputs &amp; Outputs'!B$19),1,0)</f>
        <v>1</v>
      </c>
      <c r="J31" s="55">
        <f>I31*'Inputs &amp; Outputs'!B$16*'Benefit Calculations'!G31*('Benefit Calculations'!C$4-'Benefit Calculations'!C$5)</f>
        <v>1000.666303173046</v>
      </c>
      <c r="K31" s="71">
        <f t="shared" si="3"/>
        <v>0.28679213789594171</v>
      </c>
      <c r="L31" s="56">
        <f>K31*'Assumed Values'!$C$8</f>
        <v>2153.2353713227303</v>
      </c>
      <c r="M31" s="57">
        <f t="shared" si="0"/>
        <v>346.520959191202</v>
      </c>
      <c r="N31" s="55">
        <f>I31*'Inputs &amp; Outputs'!B$16*'Benefit Calculations'!G31*('Benefit Calculations'!D$4-'Benefit Calculations'!D$5)</f>
        <v>360.51647711065493</v>
      </c>
      <c r="O31" s="71">
        <f t="shared" si="4"/>
        <v>0.10332444581118083</v>
      </c>
      <c r="P31" s="56">
        <f>ABS(O31*'Assumed Values'!$C$7)</f>
        <v>196.83306927029949</v>
      </c>
      <c r="Q31" s="57">
        <f t="shared" si="1"/>
        <v>31.676418134536366</v>
      </c>
      <c r="T31" s="68">
        <f t="shared" si="5"/>
        <v>0.26017323882499199</v>
      </c>
      <c r="U31" s="69">
        <f>T31*'Assumed Values'!$D$8</f>
        <v>0</v>
      </c>
    </row>
    <row r="32" spans="3:21">
      <c r="F32" s="54">
        <f t="shared" si="2"/>
        <v>2046</v>
      </c>
      <c r="G32" s="63">
        <f t="shared" si="6"/>
        <v>19606.410794307456</v>
      </c>
      <c r="H32" s="62">
        <f t="shared" si="8"/>
        <v>1.0067013255754764E-2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19803.788791671523</v>
      </c>
      <c r="H33" s="62">
        <f t="shared" si="8"/>
        <v>1.0067013255754764E-2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20003.153795951446</v>
      </c>
      <c r="H34" s="62">
        <f t="shared" si="8"/>
        <v>1.0067013255754764E-2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20204.52581037219</v>
      </c>
      <c r="H35" s="62">
        <f t="shared" si="8"/>
        <v>1.0067013255754764E-2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20407.925039531445</v>
      </c>
      <c r="H36" s="62">
        <f t="shared" si="8"/>
        <v>1.0067013255754764E-2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17385.554141414152</v>
      </c>
      <c r="K37" s="55">
        <f t="shared" ref="K37:Q37" si="9">SUM(K4:K36)</f>
        <v>4.9827202384165519</v>
      </c>
      <c r="L37" s="58">
        <f t="shared" si="9"/>
        <v>37410.263550031457</v>
      </c>
      <c r="M37" s="59">
        <f t="shared" si="9"/>
        <v>12054.985233414976</v>
      </c>
      <c r="N37" s="55">
        <f t="shared" si="9"/>
        <v>6263.6052716120039</v>
      </c>
      <c r="O37" s="55">
        <f t="shared" si="9"/>
        <v>1.7951566282243967</v>
      </c>
      <c r="P37" s="55">
        <f t="shared" si="9"/>
        <v>3419.7733767674754</v>
      </c>
      <c r="Q37" s="59">
        <f t="shared" si="9"/>
        <v>1101.9788059879336</v>
      </c>
      <c r="T37" s="68">
        <f>SUM(T4:T36)</f>
        <v>4.5202440767676793</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599999999999994">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topLeftCell="A10" workbookViewId="0" xr3:uid="{9B253EF2-77E0-53E3-AE26-4D66ECD923F3}">
      <selection activeCell="C28" sqref="C28"/>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55</v>
      </c>
      <c r="D2" s="92" t="s">
        <v>114</v>
      </c>
      <c r="E2" s="92" t="s">
        <v>115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55</v>
      </c>
      <c r="D21" s="92" t="s">
        <v>114</v>
      </c>
      <c r="E21" s="92" t="s">
        <v>115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55</v>
      </c>
      <c r="D2" s="92" t="s">
        <v>114</v>
      </c>
      <c r="E2" s="92" t="s">
        <v>115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55</v>
      </c>
      <c r="D21" s="92" t="s">
        <v>114</v>
      </c>
      <c r="E21" s="92" t="s">
        <v>115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FD957-2D05-4B2A-BFE4-C23F5ABA32FB}"/>
</file>

<file path=customXml/itemProps2.xml><?xml version="1.0" encoding="utf-8"?>
<ds:datastoreItem xmlns:ds="http://schemas.openxmlformats.org/officeDocument/2006/customXml" ds:itemID="{45DF0E3B-8A21-4697-946B-28DED70C0844}"/>
</file>

<file path=customXml/itemProps3.xml><?xml version="1.0" encoding="utf-8"?>
<ds:datastoreItem xmlns:ds="http://schemas.openxmlformats.org/officeDocument/2006/customXml" ds:itemID="{446A5D55-D38F-4EA0-963F-9CA4719EC19A}"/>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2018-10-30T04:39:08Z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