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1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11" documentId="8_{5BDFF8AA-07C0-4518-8345-BD737D5B7274}" xr6:coauthVersionLast="40" xr6:coauthVersionMax="40" xr10:uidLastSave="{1574FD68-F237-48E1-A73E-53765CE778D0}"/>
  <bookViews>
    <workbookView xWindow="0" yWindow="0" windowWidth="28800" windowHeight="1403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<sst xmlns="http://schemas.openxmlformats.org/spreadsheetml/2006/main" count="441" uniqueCount="286">
  <si>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</si>
  <si>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</si>
  <si>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</si>
  <si>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</si>
  <si>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</si>
  <si>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</si>
  <si>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</si>
  <si>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</si>
  <si>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</si>
  <si>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</si>
  <si>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</si>
  <si>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</si>
  <si>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</si>
  <si>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</si>
  <si>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</si>
  <si>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</si>
  <si>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</si>
  <si>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</si>
  <si>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</si>
  <si>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</si>
  <si>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</si>
  <si>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</si>
  <si>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</si>
  <si>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</si>
  <si>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</si>
  <si>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</si>
  <si>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</si>
  <si>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</si>
  <si>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</si>
  <si>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</si>
  <si>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</si>
  <si>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</si>
  <si>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</si>
  <si>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</si>
  <si>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</si>
  <si>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</si>
  <si>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</si>
  <si>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</si>
  <si>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</si>
  <si>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</si>
  <si>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</si>
  <si>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</si>
  <si>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</si>
  <si>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</si>
  <si>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</si>
  <si>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</si>
  <si>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</si>
  <si>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</si>
  <si>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332 Widening</t>
  </si>
  <si>
    <t>County</t>
  </si>
  <si>
    <t>Brazoria</t>
  </si>
  <si>
    <t>Data entered by the sponsors</t>
  </si>
  <si>
    <t>Facility Type</t>
  </si>
  <si>
    <t>Non-Freeway</t>
  </si>
  <si>
    <t>HGAC regional travel demand model data provided by HGAC upon request</t>
  </si>
  <si>
    <t>Street Name:</t>
  </si>
  <si>
    <t>SH 332</t>
  </si>
  <si>
    <t>Populated based on selection in cell "C18"</t>
  </si>
  <si>
    <t>Limits (From)</t>
  </si>
  <si>
    <t>E of FM 521</t>
  </si>
  <si>
    <t>Benefits calculated by the template</t>
  </si>
  <si>
    <t>Limits (To)</t>
  </si>
  <si>
    <t>SH 288</t>
  </si>
  <si>
    <t>Length (in Miles)</t>
  </si>
  <si>
    <t>Application ID Number:</t>
  </si>
  <si>
    <t>Sponsor ID Number (CSJ, etc.):</t>
  </si>
  <si>
    <t>1524-01-047</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</si>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</sst>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B4" zoomScaleNormal="100" workbookViewId="0" xr3:uid="{51F8DEE0-4D01-5F28-A812-FC0BD7CAC4A5}">
      <selection activeCell="C33" sqref="C3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600000000000001">
      <c r="B3" s="44" t="s">
        <v>46</v>
      </c>
      <c r="C3" s="45"/>
      <c r="D3" s="45"/>
      <c r="E3" s="45"/>
      <c r="F3" s="45"/>
    </row>
    <row r="5" spans="2:19">
      <c r="B5" s="5" t="s">
        <v>0</v>
      </c>
    </row>
    <row r="6" spans="2:19">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5.3</v>
      </c>
      <c r="D12" s="80"/>
      <c r="N12" s="133"/>
      <c r="O12" s="133"/>
      <c r="P12" s="133"/>
      <c r="Q12" s="133"/>
      <c r="R12" s="133"/>
      <c r="S12" s="133"/>
    </row>
    <row r="13" spans="2:19">
      <c r="B13" s="3" t="s">
        <v>64</v>
      </c>
      <c r="C13" s="98"/>
      <c r="D13" s="54"/>
    </row>
    <row r="14" spans="2:19">
      <c r="B14" s="3" t="s">
        <v>65</v>
      </c>
      <c r="C14" s="98" t="s">
        <v>66</v>
      </c>
      <c r="D14" s="54"/>
      <c r="G14" s="91"/>
    </row>
    <row r="15" spans="2:19">
      <c r="C15" s="54"/>
      <c r="D15" s="54"/>
    </row>
    <row r="16" spans="2:19">
      <c r="B16" s="5" t="s">
        <v>67</v>
      </c>
    </row>
    <row r="17" spans="2:13">
      <c r="B17" s="3" t="s">
        <v>68</v>
      </c>
      <c r="C17" s="98">
        <v>2026</v>
      </c>
      <c r="D17" s="81"/>
    </row>
    <row r="18" spans="2:13" ht="29.1">
      <c r="B18" s="3" t="s">
        <v>69</v>
      </c>
      <c r="C18" s="99" t="s">
        <v>70</v>
      </c>
    </row>
    <row r="19" spans="2:13">
      <c r="B19" s="100" t="s">
        <v>71</v>
      </c>
      <c r="C19" s="129">
        <f>VLOOKUP(C18,'CRF Lookup Table'!C3:F84,2, FALSE)</f>
        <v>538</v>
      </c>
      <c r="D19" s="82"/>
    </row>
    <row r="20" spans="2:13">
      <c r="B20" s="100" t="s">
        <v>72</v>
      </c>
      <c r="C20" s="130">
        <f>VLOOKUP(C18,'CRF Lookup Table'!C3:F84,3, FALSE)</f>
        <v>0.45</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16443</v>
      </c>
      <c r="D25" s="83"/>
      <c r="I25" s="42"/>
    </row>
    <row r="26" spans="2:13">
      <c r="I26" s="42"/>
    </row>
    <row r="27" spans="2:13">
      <c r="B27" s="74" t="s">
        <v>76</v>
      </c>
      <c r="C27" s="75">
        <v>7685</v>
      </c>
      <c r="D27" s="83"/>
      <c r="I27" s="42"/>
    </row>
    <row r="28" spans="2:13">
      <c r="B28" s="74" t="s">
        <v>77</v>
      </c>
      <c r="C28" s="75">
        <v>11746</v>
      </c>
      <c r="D28" s="83"/>
      <c r="I28" s="42"/>
    </row>
    <row r="29" spans="2:13">
      <c r="B29" s="74" t="s">
        <v>78</v>
      </c>
      <c r="C29" s="76">
        <v>6975</v>
      </c>
      <c r="D29" s="59"/>
      <c r="I29" s="42"/>
    </row>
    <row r="30" spans="2:13">
      <c r="B30" s="74" t="s">
        <v>79</v>
      </c>
      <c r="C30" s="76">
        <v>11746</v>
      </c>
      <c r="D30" s="59"/>
      <c r="I30" s="42"/>
    </row>
    <row r="31" spans="2:13">
      <c r="B31" s="74" t="s">
        <v>80</v>
      </c>
      <c r="C31" s="75">
        <v>9652</v>
      </c>
      <c r="D31" s="83"/>
      <c r="H31" s="60"/>
    </row>
    <row r="32" spans="2:13">
      <c r="B32" s="74" t="s">
        <v>81</v>
      </c>
      <c r="C32" s="75">
        <v>22862</v>
      </c>
      <c r="D32" s="83"/>
    </row>
    <row r="34" spans="2:9" ht="18.600000000000001">
      <c r="B34" s="44" t="s">
        <v>82</v>
      </c>
      <c r="C34" s="45"/>
      <c r="D34" s="45"/>
      <c r="E34" s="45"/>
      <c r="F34" s="45"/>
      <c r="I34" s="60"/>
    </row>
    <row r="36" spans="2:9">
      <c r="B36" s="9" t="s">
        <v>83</v>
      </c>
    </row>
    <row r="37" spans="2:9">
      <c r="B37" s="8" t="s">
        <v>84</v>
      </c>
      <c r="C37" s="35">
        <f>Calculations!U37</f>
        <v>30268.83592962044</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6">
      <c r="A4" s="14" t="s">
        <v>20</v>
      </c>
      <c r="B4" s="40">
        <v>2018</v>
      </c>
      <c r="D4" s="105" t="s">
        <v>94</v>
      </c>
      <c r="E4" s="106">
        <f>VLOOKUP(Year_Open_to_Traffic?,Calculations!M4:N36,2,Calculations!N4:N36)</f>
        <v>15168.23512006597</v>
      </c>
      <c r="G4" s="136" t="s">
        <v>95</v>
      </c>
      <c r="H4" s="136"/>
      <c r="I4" s="136"/>
      <c r="J4" s="136"/>
      <c r="L4" s="107"/>
      <c r="M4" s="108">
        <v>2018</v>
      </c>
      <c r="N4" s="109">
        <f>_2018_Volume_ADT</f>
        <v>16443</v>
      </c>
      <c r="O4" s="110" t="s">
        <v>96</v>
      </c>
      <c r="P4" s="111">
        <f>MIN(B12,1)</f>
        <v>0.65426528179805887</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6">
      <c r="A5" s="14" t="s">
        <v>97</v>
      </c>
      <c r="B5" s="14">
        <f>Service_Life</f>
        <v>20</v>
      </c>
      <c r="D5" s="105" t="s">
        <v>98</v>
      </c>
      <c r="E5" s="106">
        <f>$E$4*'Inputs &amp; Outputs'!$C$12</f>
        <v>80391.646136349635</v>
      </c>
      <c r="G5" s="137" t="s">
        <v>99</v>
      </c>
      <c r="H5" s="137"/>
      <c r="I5" s="137"/>
      <c r="J5" s="112">
        <f>SUMPRODUCT(Possible_Crash_Reductions,'Value of Statistical Life'!E5:E11)</f>
        <v>4057420.3503168388</v>
      </c>
      <c r="L5" s="107"/>
      <c r="M5" s="11">
        <f t="shared" ref="M5:M36" si="1">M4+1</f>
        <v>2019</v>
      </c>
      <c r="N5" s="113">
        <f>N4+(N4*O5)</f>
        <v>16216.861949160606</v>
      </c>
      <c r="O5" s="114">
        <f t="shared" ref="O5:O11" si="2">IF(ISERROR(_2025_2045_Demand_Growth),_2018_2045_Demand_Growth,_2018_2025_Demand_Growth)</f>
        <v>-1.3752846246998351E-2</v>
      </c>
      <c r="P5" s="115">
        <f t="shared" ref="P5:P11" si="3">P4*(1+IFERROR(_2018_2025_V_C_Growth,_2018_2045_V_C_Growth))</f>
        <v>0.64526727197274114</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6">
      <c r="A6" s="14" t="s">
        <v>100</v>
      </c>
      <c r="B6" s="14">
        <v>260</v>
      </c>
      <c r="D6" s="105" t="s">
        <v>101</v>
      </c>
      <c r="E6" s="106">
        <f>$E$5*$B$6</f>
        <v>20901827.995450906</v>
      </c>
      <c r="L6" s="107"/>
      <c r="M6" s="108">
        <f t="shared" si="1"/>
        <v>2020</v>
      </c>
      <c r="N6" s="113">
        <f t="shared" ref="N6:N36" si="6">N5+(N5*O6)</f>
        <v>15993.833940165003</v>
      </c>
      <c r="O6" s="114">
        <f t="shared" si="2"/>
        <v>-1.3752846246998351E-2</v>
      </c>
      <c r="P6" s="115">
        <f t="shared" si="3"/>
        <v>0.63639301039307994</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6">
      <c r="B7" s="54"/>
      <c r="L7" s="107"/>
      <c r="M7" s="11">
        <f t="shared" si="1"/>
        <v>2021</v>
      </c>
      <c r="N7" s="113">
        <f t="shared" si="6"/>
        <v>15773.873201085889</v>
      </c>
      <c r="O7" s="114">
        <f t="shared" si="2"/>
        <v>-1.3752846246998351E-2</v>
      </c>
      <c r="P7" s="115">
        <f t="shared" si="3"/>
        <v>0.62764079516847948</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6">
      <c r="A8" s="117" t="s">
        <v>21</v>
      </c>
      <c r="B8" s="101"/>
      <c r="D8" s="118" t="s">
        <v>102</v>
      </c>
      <c r="E8" s="58"/>
      <c r="L8" s="107"/>
      <c r="M8" s="108">
        <f t="shared" si="1"/>
        <v>2022</v>
      </c>
      <c r="N8" s="113">
        <f t="shared" si="6"/>
        <v>15556.937548231708</v>
      </c>
      <c r="O8" s="114">
        <f t="shared" si="2"/>
        <v>-1.3752846246998351E-2</v>
      </c>
      <c r="P8" s="115">
        <f t="shared" si="3"/>
        <v>0.61900894781418359</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6">
      <c r="A9" s="40" t="s">
        <v>103</v>
      </c>
      <c r="B9" s="119">
        <f>(_2025_Peak_Period_Volume/'Inputs &amp; Outputs'!$C$27)^(1/(2025-2018))-1</f>
        <v>-1.3752846246998351E-2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15342.985378056723</v>
      </c>
      <c r="O9" s="114">
        <f t="shared" si="2"/>
        <v>-1.3752846246998351E-2</v>
      </c>
      <c r="P9" s="115">
        <f t="shared" si="3"/>
        <v>0.61049581292937893</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6">
      <c r="A10" s="40" t="s">
        <v>105</v>
      </c>
      <c r="B10" s="119">
        <f>(_2045_Peak_Period_Volume/_2025_Peak_Period_Volume)^(1/(2045-2025))-1</f>
        <v>1.6374253429034313E-2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15131.975659182364</v>
      </c>
      <c r="O10" s="114">
        <f t="shared" si="2"/>
        <v>-1.3752846246998351E-2</v>
      </c>
      <c r="P10" s="115">
        <f t="shared" si="3"/>
        <v>0.60209975787972492</v>
      </c>
      <c r="Q10" s="116">
        <f t="shared" si="4"/>
        <v>1</v>
      </c>
      <c r="R10" s="31">
        <f>IF(M10=Year_Open_to_Traffic?,Calculations!$J$5,Calculations!R9+(Calculations!R9*Calculations!O10*Q10))</f>
        <v>0</v>
      </c>
      <c r="S10" s="46">
        <f t="shared" si="0"/>
        <v>0</v>
      </c>
      <c r="T10" s="31">
        <f t="shared" si="5"/>
        <v>0</v>
      </c>
      <c r="U10" s="32">
        <f>T10/(1+Real_Discount_Rate)^(Calculations!M10-'Assumed Values'!$C$5)</f>
        <v>0</v>
      </c>
    </row>
    <row r="11" spans="1:21" ht="15.6">
      <c r="A11" s="40" t="s">
        <v>107</v>
      </c>
      <c r="B11" s="119">
        <f>(_2045_Peak_Period_Volume/'Inputs &amp; Outputs'!$C$27)^(1/(2045-2018))-1</f>
        <v>8.4762689162767302E-3</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14923.867924528307</v>
      </c>
      <c r="O11" s="114">
        <f t="shared" si="2"/>
        <v>-1.3752846246998351E-2</v>
      </c>
      <c r="P11" s="115">
        <f t="shared" si="3"/>
        <v>0.59381917248425009</v>
      </c>
      <c r="Q11" s="116">
        <f t="shared" si="4"/>
        <v>1</v>
      </c>
      <c r="R11" s="31">
        <f>IF(M11=Year_Open_to_Traffic?,Calculations!$J$5,Calculations!R10+(Calculations!R10*Calculations!O11*Q11))</f>
        <v>0</v>
      </c>
      <c r="S11" s="46">
        <f t="shared" si="0"/>
        <v>0</v>
      </c>
      <c r="T11" s="31">
        <f t="shared" si="5"/>
        <v>0</v>
      </c>
      <c r="U11" s="32">
        <f>T11/(1+Real_Discount_Rate)^(Calculations!M11-'Assumed Values'!$C$5)</f>
        <v>0</v>
      </c>
    </row>
    <row r="12" spans="1:21" ht="15.6">
      <c r="A12" s="40" t="s">
        <v>109</v>
      </c>
      <c r="B12" s="121">
        <f>'Inputs &amp; Outputs'!C27/_2018_Peak_Period_Capacity</f>
        <v>0.65426528179805887</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15168.23512006597</v>
      </c>
      <c r="O12" s="114">
        <f t="shared" ref="O12:O36" si="7">IFERROR(_2025_2045_Demand_Growth,_2018_2045_Demand_Growth)</f>
        <v>1.6374253429034313E-2</v>
      </c>
      <c r="P12" s="115">
        <f t="shared" ref="P12:P36" si="8">P11*(1+IFERROR(_2025_2040_V_C_Growth,_2018_2045_V_C_Growth))</f>
        <v>0.58377656840022096</v>
      </c>
      <c r="Q12" s="116">
        <f t="shared" si="4"/>
        <v>1</v>
      </c>
      <c r="R12" s="31">
        <f>IF(M12=Year_Open_to_Traffic?,Calculations!$J$5,Calculations!R11+(Calculations!R11*Calculations!O12*Q12))</f>
        <v>4057420.3503168388</v>
      </c>
      <c r="S12" s="46">
        <f t="shared" si="0"/>
        <v>1</v>
      </c>
      <c r="T12" s="31">
        <f t="shared" si="5"/>
        <v>4057.4203503168387</v>
      </c>
      <c r="U12" s="32">
        <f>T12/(1+Real_Discount_Rate)^(Calculations!M12-'Assumed Values'!$C$5)</f>
        <v>2361.4555849318681</v>
      </c>
    </row>
    <row r="13" spans="1:21" ht="15.6">
      <c r="A13" s="40" t="s">
        <v>111</v>
      </c>
      <c r="B13" s="121">
        <f>_2025_Peak_Period_Volume/_2025_Peak_Period_Capacity</f>
        <v>0.59381917248424998</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15416.603645993109</v>
      </c>
      <c r="O13" s="114">
        <f t="shared" si="7"/>
        <v>1.6374253429034313E-2</v>
      </c>
      <c r="P13" s="115">
        <f t="shared" si="8"/>
        <v>0.57390380372431782</v>
      </c>
      <c r="Q13" s="116">
        <f t="shared" si="4"/>
        <v>1</v>
      </c>
      <c r="R13" s="31">
        <f>IF(M13=Year_Open_to_Traffic?,Calculations!$J$5,Calculations!R12+(Calculations!R12*Calculations!O13*Q13))</f>
        <v>4123857.5794010479</v>
      </c>
      <c r="S13" s="46">
        <f t="shared" si="0"/>
        <v>1</v>
      </c>
      <c r="T13" s="31">
        <f t="shared" si="5"/>
        <v>4123.8575794010476</v>
      </c>
      <c r="U13" s="32">
        <f>T13/(1+Real_Discount_Rate)^(Calculations!M13-'Assumed Values'!$C$5)</f>
        <v>2243.1052870476169</v>
      </c>
    </row>
    <row r="14" spans="1:21" ht="15.6">
      <c r="A14" s="40" t="s">
        <v>113</v>
      </c>
      <c r="B14" s="121">
        <f>_2045_Peak_Period_Volume/_2045_Peak_Period_Capacity</f>
        <v>0.4221852856268043</v>
      </c>
      <c r="D14" s="40" t="s">
        <v>114</v>
      </c>
      <c r="E14" s="120">
        <f>IF('Inputs &amp; Outputs'!$C$8='CRASH RATES'!$D$3, VLOOKUP('Inputs &amp; Outputs'!$C$7,'CRASH RATES'!$C$14:$J$21,8,FALSE), VLOOKUP('Inputs &amp; Outputs'!$C$7,'CRASH RATES'!$C$28:$J$35,8,FALSE))</f>
        <v>20.354195581954531</v>
      </c>
      <c r="F14" s="86"/>
      <c r="L14" s="107"/>
      <c r="M14" s="108">
        <f>M13+1</f>
        <v>2028</v>
      </c>
      <c r="N14" s="113">
        <f t="shared" si="6"/>
        <v>15669.039021107576</v>
      </c>
      <c r="O14" s="114">
        <f t="shared" si="7"/>
        <v>1.6374253429034313E-2</v>
      </c>
      <c r="P14" s="115">
        <f>P13*(1+IFERROR(_2025_2040_V_C_Growth,_2018_2045_V_C_Growth))</f>
        <v>0.5641980061512788</v>
      </c>
      <c r="Q14" s="116">
        <f t="shared" si="4"/>
        <v>1</v>
      </c>
      <c r="R14" s="31">
        <f>IF(M14=Year_Open_to_Traffic?,Calculations!$J$5,Calculations!R13+(Calculations!R13*Calculations!O14*Q14))</f>
        <v>4191382.6685114047</v>
      </c>
      <c r="S14" s="46">
        <f t="shared" si="0"/>
        <v>1</v>
      </c>
      <c r="T14" s="31">
        <f t="shared" si="5"/>
        <v>4191.3826685114045</v>
      </c>
      <c r="U14" s="32">
        <f>T14/(1+Real_Discount_Rate)^(Calculations!M14-'Assumed Values'!$C$5)</f>
        <v>2130.686412603497</v>
      </c>
    </row>
    <row r="15" spans="1:21" ht="15.6">
      <c r="A15" s="40" t="s">
        <v>115</v>
      </c>
      <c r="B15" s="119">
        <f>(B13/B12)^(1/(2025-2018))-1</f>
        <v>-1.3752846246998351E-2</v>
      </c>
      <c r="L15" s="107"/>
      <c r="M15" s="11">
        <f>M14+1</f>
        <v>2029</v>
      </c>
      <c r="N15" s="113">
        <f t="shared" si="6"/>
        <v>15925.60783702862</v>
      </c>
      <c r="O15" s="114">
        <f t="shared" si="7"/>
        <v>1.6374253429034313E-2</v>
      </c>
      <c r="P15" s="115">
        <f>P14*(1+IFERROR(_2025_2040_V_C_Growth,_2018_2045_V_C_Growth))</f>
        <v>0.55465635195195062</v>
      </c>
      <c r="Q15" s="116">
        <f t="shared" si="4"/>
        <v>1</v>
      </c>
      <c r="R15" s="31">
        <f>IF(M15=Year_Open_to_Traffic?,Calculations!$J$5,Calculations!R14+(Calculations!R14*Calculations!O15*Q15))</f>
        <v>4260013.4305436723</v>
      </c>
      <c r="S15" s="46">
        <f t="shared" si="0"/>
        <v>1</v>
      </c>
      <c r="T15" s="31">
        <f t="shared" si="5"/>
        <v>4260.0134305436723</v>
      </c>
      <c r="U15" s="32">
        <f>T15/(1+Real_Discount_Rate)^(Calculations!M15-'Assumed Values'!$C$5)</f>
        <v>2023.9016933656694</v>
      </c>
    </row>
    <row r="16" spans="1:21" ht="15.6">
      <c r="A16" s="40" t="s">
        <v>116</v>
      </c>
      <c r="B16" s="119">
        <f>(B14/B13)^(1/(2045-2025))-1</f>
        <v>-1.6911889257491874E-2</v>
      </c>
      <c r="D16" s="122" t="s">
        <v>117</v>
      </c>
      <c r="E16" s="58"/>
      <c r="L16" s="107"/>
      <c r="M16" s="108">
        <f t="shared" si="1"/>
        <v>2030</v>
      </c>
      <c r="N16" s="113">
        <f t="shared" si="6"/>
        <v>16186.377775763542</v>
      </c>
      <c r="O16" s="114">
        <f t="shared" si="7"/>
        <v>1.6374253429034313E-2</v>
      </c>
      <c r="P16" s="115">
        <f t="shared" si="8"/>
        <v>0.54527606515177485</v>
      </c>
      <c r="Q16" s="116">
        <f t="shared" si="4"/>
        <v>1</v>
      </c>
      <c r="R16" s="31">
        <f>IF(M16=Year_Open_to_Traffic?,Calculations!$J$5,Calculations!R15+(Calculations!R15*Calculations!O16*Q16))</f>
        <v>4329767.9700664841</v>
      </c>
      <c r="S16" s="46">
        <f t="shared" si="0"/>
        <v>1</v>
      </c>
      <c r="T16" s="31">
        <f t="shared" si="5"/>
        <v>4329.7679700664839</v>
      </c>
      <c r="U16" s="32">
        <f>T16/(1+Real_Discount_Rate)^(Calculations!M16-'Assumed Values'!$C$5)</f>
        <v>1922.4687594470008</v>
      </c>
    </row>
    <row r="17" spans="1:21" ht="15.6">
      <c r="A17" s="40" t="s">
        <v>118</v>
      </c>
      <c r="B17" s="119">
        <f>(B14/B12)^(1/(2045-2018))-1</f>
        <v>-1.6093851033955997E-2</v>
      </c>
      <c r="D17" s="40" t="s">
        <v>119</v>
      </c>
      <c r="E17" s="123">
        <f>($E$6*Death_Rate)/100000000</f>
        <v>0.4938141638854594</v>
      </c>
      <c r="L17" s="107"/>
      <c r="M17" s="11">
        <f t="shared" si="1"/>
        <v>2031</v>
      </c>
      <c r="N17" s="113">
        <f t="shared" si="6"/>
        <v>16451.417627561983</v>
      </c>
      <c r="O17" s="114">
        <f t="shared" si="7"/>
        <v>1.6374253429034313E-2</v>
      </c>
      <c r="P17" s="115">
        <f t="shared" si="8"/>
        <v>0.53605441672316712</v>
      </c>
      <c r="Q17" s="116">
        <f t="shared" si="4"/>
        <v>1</v>
      </c>
      <c r="R17" s="31">
        <f>IF(M17=Year_Open_to_Traffic?,Calculations!$J$5,Calculations!R16+(Calculations!R16*Calculations!O17*Q17))</f>
        <v>4400664.6880972683</v>
      </c>
      <c r="S17" s="46">
        <f t="shared" si="0"/>
        <v>1</v>
      </c>
      <c r="T17" s="31">
        <f t="shared" si="5"/>
        <v>4400.6646880972685</v>
      </c>
      <c r="U17" s="32">
        <f>T17/(1+Real_Discount_Rate)^(Calculations!M17-'Assumed Values'!$C$5)</f>
        <v>1826.1193926388667</v>
      </c>
    </row>
    <row r="18" spans="1:21" ht="15.6">
      <c r="D18" s="40" t="s">
        <v>120</v>
      </c>
      <c r="E18" s="123">
        <f>($E$6*Incap_Injry_Rate)/100000000</f>
        <v>1.76000432769433</v>
      </c>
      <c r="L18" s="107"/>
      <c r="M18" s="108">
        <f t="shared" si="1"/>
        <v>2032</v>
      </c>
      <c r="N18" s="113">
        <f t="shared" si="6"/>
        <v>16720.797309062564</v>
      </c>
      <c r="O18" s="114">
        <f t="shared" si="7"/>
        <v>1.6374253429034313E-2</v>
      </c>
      <c r="P18" s="115">
        <f t="shared" si="8"/>
        <v>0.52698872379155548</v>
      </c>
      <c r="Q18" s="116">
        <f t="shared" si="4"/>
        <v>1</v>
      </c>
      <c r="R18" s="31">
        <f>IF(M18=Year_Open_to_Traffic?,Calculations!$J$5,Calculations!R17+(Calculations!R17*Calculations!O18*Q18))</f>
        <v>4472722.2869563755</v>
      </c>
      <c r="S18" s="46">
        <f t="shared" si="0"/>
        <v>1</v>
      </c>
      <c r="T18" s="31">
        <f t="shared" si="5"/>
        <v>4472.7222869563757</v>
      </c>
      <c r="U18" s="32">
        <f>T18/(1+Real_Discount_Rate)^(Calculations!M18-'Assumed Values'!$C$5)</f>
        <v>1734.5988171641213</v>
      </c>
    </row>
    <row r="19" spans="1:21" ht="15.6">
      <c r="D19" s="40" t="s">
        <v>121</v>
      </c>
      <c r="E19" s="123">
        <f>($E$6*Nonincap_Injry_Rate)/100000000</f>
        <v>8.6354169171764941</v>
      </c>
      <c r="L19" s="107"/>
      <c r="M19" s="11">
        <f t="shared" si="1"/>
        <v>2033</v>
      </c>
      <c r="N19" s="113">
        <f t="shared" si="6"/>
        <v>16994.587881736668</v>
      </c>
      <c r="O19" s="114">
        <f t="shared" si="7"/>
        <v>1.6374253429034313E-2</v>
      </c>
      <c r="P19" s="115">
        <f t="shared" si="8"/>
        <v>0.51807634885484577</v>
      </c>
      <c r="Q19" s="116">
        <f t="shared" si="4"/>
        <v>1</v>
      </c>
      <c r="R19" s="31">
        <f>IF(M19=Year_Open_to_Traffic?,Calculations!$J$5,Calculations!R18+(Calculations!R18*Calculations!O19*Q19))</f>
        <v>4545959.7752006892</v>
      </c>
      <c r="S19" s="46">
        <f t="shared" si="0"/>
        <v>1</v>
      </c>
      <c r="T19" s="31">
        <f t="shared" si="5"/>
        <v>4545.9597752006894</v>
      </c>
      <c r="U19" s="32">
        <f>T19/(1+Real_Discount_Rate)^(Calculations!M19-'Assumed Values'!$C$5)</f>
        <v>1647.665025975766</v>
      </c>
    </row>
    <row r="20" spans="1:21" ht="15.6">
      <c r="D20" s="40" t="s">
        <v>122</v>
      </c>
      <c r="E20" s="123">
        <f>($E$6*Poss_Injry_Rate/100000000)</f>
        <v>13.611544260945353</v>
      </c>
      <c r="L20" s="107"/>
      <c r="M20" s="108">
        <f t="shared" si="1"/>
        <v>2034</v>
      </c>
      <c r="N20" s="113">
        <f t="shared" si="6"/>
        <v>17272.861570634221</v>
      </c>
      <c r="O20" s="114">
        <f t="shared" si="7"/>
        <v>1.6374253429034313E-2</v>
      </c>
      <c r="P20" s="115">
        <f t="shared" si="8"/>
        <v>0.50931469901608684</v>
      </c>
      <c r="Q20" s="116">
        <f t="shared" si="4"/>
        <v>1</v>
      </c>
      <c r="R20" s="31">
        <f>IF(M20=Year_Open_to_Traffic?,Calculations!$J$5,Calculations!R19+(Calculations!R19*Calculations!O20*Q20))</f>
        <v>4620396.4726380212</v>
      </c>
      <c r="S20" s="46">
        <f t="shared" si="0"/>
        <v>1</v>
      </c>
      <c r="T20" s="31">
        <f t="shared" si="5"/>
        <v>4620.3964726380209</v>
      </c>
      <c r="U20" s="32">
        <f>T20/(1+Real_Discount_Rate)^(Calculations!M20-'Assumed Values'!$C$5)</f>
        <v>1565.0881408198595</v>
      </c>
    </row>
    <row r="21" spans="1:21" ht="15.6">
      <c r="D21" s="40" t="s">
        <v>123</v>
      </c>
      <c r="E21" s="123">
        <f>($E$6*Non_Injry_Rate)/100000000</f>
        <v>128.60693493806693</v>
      </c>
      <c r="L21" s="107"/>
      <c r="M21" s="11">
        <f>M20+1</f>
        <v>2035</v>
      </c>
      <c r="N21" s="113">
        <f t="shared" si="6"/>
        <v>17555.691783436414</v>
      </c>
      <c r="O21" s="114">
        <f t="shared" si="7"/>
        <v>1.6374253429034313E-2</v>
      </c>
      <c r="P21" s="115">
        <f>P20*(1+IFERROR(_2025_2040_V_C_Growth,_2018_2045_V_C_Growth))</f>
        <v>0.50070122522911398</v>
      </c>
      <c r="Q21" s="116">
        <f t="shared" si="4"/>
        <v>1</v>
      </c>
      <c r="R21" s="31">
        <f>IF(M21=Year_Open_to_Traffic?,Calculations!$J$5,Calculations!R20+(Calculations!R20*Calculations!O21*Q21))</f>
        <v>4696052.0154236127</v>
      </c>
      <c r="S21" s="46">
        <f t="shared" si="0"/>
        <v>1</v>
      </c>
      <c r="T21" s="31">
        <f t="shared" si="5"/>
        <v>4696.0520154236128</v>
      </c>
      <c r="U21" s="32">
        <f>T21/(1+Real_Discount_Rate)^(Calculations!M21-'Assumed Values'!$C$5)</f>
        <v>1486.6498043704862</v>
      </c>
    </row>
    <row r="22" spans="1:21" ht="15.6">
      <c r="D22" s="40" t="s">
        <v>124</v>
      </c>
      <c r="E22" s="123">
        <f>($E$6*Unkn_Injry_Rate)/100000000</f>
        <v>4.2543989503978041</v>
      </c>
      <c r="L22" s="107"/>
      <c r="M22" s="108">
        <f>M21+1</f>
        <v>2036</v>
      </c>
      <c r="N22" s="113">
        <f t="shared" si="6"/>
        <v>17843.153129820417</v>
      </c>
      <c r="O22" s="114">
        <f t="shared" si="7"/>
        <v>1.6374253429034313E-2</v>
      </c>
      <c r="P22" s="115">
        <f t="shared" si="8"/>
        <v>0.49223342155694871</v>
      </c>
      <c r="Q22" s="116">
        <f t="shared" si="4"/>
        <v>1</v>
      </c>
      <c r="R22" s="31">
        <f>IF(M22=Year_Open_to_Traffic?,Calculations!$J$5,Calculations!R21+(Calculations!R21*Calculations!O22*Q22))</f>
        <v>4772946.3612400861</v>
      </c>
      <c r="S22" s="46">
        <f t="shared" si="0"/>
        <v>1</v>
      </c>
      <c r="T22" s="31">
        <f t="shared" si="5"/>
        <v>4772.9463612400859</v>
      </c>
      <c r="U22" s="32">
        <f>T22/(1+Real_Discount_Rate)^(Calculations!M22-'Assumed Values'!$C$5)</f>
        <v>1412.1426028294138</v>
      </c>
    </row>
    <row r="23" spans="1:21" ht="15.6">
      <c r="L23" s="107"/>
      <c r="M23" s="11">
        <f t="shared" si="1"/>
        <v>2037</v>
      </c>
      <c r="N23" s="113">
        <f t="shared" si="6"/>
        <v>18135.321441141165</v>
      </c>
      <c r="O23" s="114">
        <f t="shared" si="7"/>
        <v>1.6374253429034313E-2</v>
      </c>
      <c r="P23" s="115">
        <f t="shared" si="8"/>
        <v>0.4839088244427413</v>
      </c>
      <c r="Q23" s="116">
        <f t="shared" si="4"/>
        <v>1</v>
      </c>
      <c r="R23" s="31">
        <f>IF(M23=Year_Open_to_Traffic?,Calculations!$J$5,Calculations!R22+(Calculations!R22*Calculations!O23*Q23))</f>
        <v>4851099.7945622187</v>
      </c>
      <c r="S23" s="46">
        <f t="shared" si="0"/>
        <v>1</v>
      </c>
      <c r="T23" s="31">
        <f t="shared" si="5"/>
        <v>4851.0997945622184</v>
      </c>
      <c r="U23" s="32">
        <f>T23/(1+Real_Discount_Rate)^(Calculations!M23-'Assumed Values'!$C$5)</f>
        <v>1341.369517463625</v>
      </c>
    </row>
    <row r="24" spans="1:21" ht="15.6">
      <c r="L24" s="107"/>
      <c r="M24" s="108">
        <f t="shared" si="1"/>
        <v>2038</v>
      </c>
      <c r="N24" s="113">
        <f t="shared" si="6"/>
        <v>18432.273790435411</v>
      </c>
      <c r="O24" s="114">
        <f t="shared" si="7"/>
        <v>1.6374253429034313E-2</v>
      </c>
      <c r="P24" s="115">
        <f t="shared" si="8"/>
        <v>0.47572501199304257</v>
      </c>
      <c r="Q24" s="116">
        <f t="shared" si="4"/>
        <v>1</v>
      </c>
      <c r="R24" s="31">
        <f>IF(M24=Year_Open_to_Traffic?,Calculations!$J$5,Calculations!R23+(Calculations!R23*Calculations!O24*Q24))</f>
        <v>4930532.9320079172</v>
      </c>
      <c r="S24" s="46">
        <f t="shared" si="0"/>
        <v>1</v>
      </c>
      <c r="T24" s="31">
        <f t="shared" si="5"/>
        <v>4930.5329320079172</v>
      </c>
      <c r="U24" s="32">
        <f>T24/(1+Real_Discount_Rate)^(Calculations!M24-'Assumed Values'!$C$5)</f>
        <v>1274.1434036304263</v>
      </c>
    </row>
    <row r="25" spans="1:21" ht="15.6">
      <c r="A25" s="134" t="s">
        <v>125</v>
      </c>
      <c r="B25" s="134"/>
      <c r="D25" s="102" t="s">
        <v>119</v>
      </c>
      <c r="E25" s="102" t="s">
        <v>120</v>
      </c>
      <c r="F25" s="102" t="s">
        <v>121</v>
      </c>
      <c r="G25" s="102" t="s">
        <v>122</v>
      </c>
      <c r="H25" s="102" t="s">
        <v>123</v>
      </c>
      <c r="I25" s="102" t="s">
        <v>124</v>
      </c>
      <c r="J25" s="135" t="s">
        <v>126</v>
      </c>
      <c r="L25" s="107"/>
      <c r="M25" s="11">
        <f t="shared" si="1"/>
        <v>2039</v>
      </c>
      <c r="N25" s="113">
        <f t="shared" si="6"/>
        <v>18734.088512753347</v>
      </c>
      <c r="O25" s="114">
        <f t="shared" si="7"/>
        <v>1.6374253429034313E-2</v>
      </c>
      <c r="P25" s="115">
        <f t="shared" si="8"/>
        <v>0.46767960327319724</v>
      </c>
      <c r="Q25" s="116">
        <f t="shared" si="4"/>
        <v>1</v>
      </c>
      <c r="R25" s="31">
        <f>IF(M25=Year_Open_to_Traffic?,Calculations!$J$5,Calculations!R24+(Calculations!R24*Calculations!O25*Q25))</f>
        <v>5011266.7277768143</v>
      </c>
      <c r="S25" s="46">
        <f t="shared" si="0"/>
        <v>1</v>
      </c>
      <c r="T25" s="31">
        <f t="shared" si="5"/>
        <v>5011.2667277768142</v>
      </c>
      <c r="U25" s="32">
        <f>T25/(1+Real_Discount_Rate)^(Calculations!M25-'Assumed Values'!$C$5)</f>
        <v>1210.2864959125261</v>
      </c>
    </row>
    <row r="26" spans="1:21" ht="15.6">
      <c r="A26" s="134"/>
      <c r="B26" s="134"/>
      <c r="D26" s="124">
        <f>Calculations!E17</f>
        <v>0.4938141638854594</v>
      </c>
      <c r="E26" s="124">
        <f>Calculations!E18</f>
        <v>1.76000432769433</v>
      </c>
      <c r="F26" s="124">
        <f>Calculations!E19</f>
        <v>8.6354169171764941</v>
      </c>
      <c r="G26" s="124">
        <f>Calculations!E20</f>
        <v>13.611544260945353</v>
      </c>
      <c r="H26" s="124">
        <f>Calculations!E21</f>
        <v>128.60693493806693</v>
      </c>
      <c r="I26" s="124">
        <f>Calculations!E22</f>
        <v>4.2543989503978041</v>
      </c>
      <c r="J26" s="135"/>
      <c r="L26" s="107"/>
      <c r="M26" s="108">
        <f t="shared" si="1"/>
        <v>2040</v>
      </c>
      <c r="N26" s="113">
        <f t="shared" si="6"/>
        <v>19040.84522582313</v>
      </c>
      <c r="O26" s="114">
        <f t="shared" si="7"/>
        <v>1.6374253429034313E-2</v>
      </c>
      <c r="P26" s="115">
        <f t="shared" si="8"/>
        <v>0.45977025761465318</v>
      </c>
      <c r="Q26" s="116">
        <f t="shared" si="4"/>
        <v>1</v>
      </c>
      <c r="R26" s="31">
        <f>IF(M26=Year_Open_to_Traffic?,Calculations!$J$5,Calculations!R25+(Calculations!R25*Calculations!O26*Q26))</f>
        <v>5093322.4791779192</v>
      </c>
      <c r="S26" s="46">
        <f t="shared" si="0"/>
        <v>1</v>
      </c>
      <c r="T26" s="31">
        <f t="shared" si="5"/>
        <v>5093.3224791779194</v>
      </c>
      <c r="U26" s="32">
        <f>T26/(1+Real_Discount_Rate)^(Calculations!M26-'Assumed Values'!$C$5)</f>
        <v>1149.6299380545195</v>
      </c>
    </row>
    <row r="27" spans="1:21" ht="15.6">
      <c r="A27" s="39" t="s">
        <v>127</v>
      </c>
      <c r="B27" s="40" t="s">
        <v>128</v>
      </c>
      <c r="D27" s="125">
        <f>D$26*'Value of Statistical Life'!D17*Appropriate_Crash_Reduction_Factor</f>
        <v>0</v>
      </c>
      <c r="E27" s="125">
        <f>E$26*'Value of Statistical Life'!E17*Appropriate_Crash_Reduction_Factor</f>
        <v>2.7221106934284353E-2</v>
      </c>
      <c r="F27" s="125">
        <f>F$26*'Value of Statistical Life'!F17*Appropriate_Crash_Reduction_Factor</f>
        <v>0.32435921253452488</v>
      </c>
      <c r="G27" s="125">
        <f>G$26*'Value of Statistical Life'!G17*Appropriate_Crash_Reduction_Factor</f>
        <v>1.4355619327969931</v>
      </c>
      <c r="H27" s="125">
        <f>H$26*'Value of Statistical Life'!H17*Appropriate_Crash_Reduction_Factor</f>
        <v>53.55231352901589</v>
      </c>
      <c r="I27" s="125">
        <f>I$26*'Value of Statistical Life'!I17*Appropriate_Crash_Reduction_Factor</f>
        <v>0.83616807850908526</v>
      </c>
      <c r="J27" s="125">
        <f t="shared" ref="J27:J33" si="9">SUM(D27:I27)</f>
        <v>56.175623859790775</v>
      </c>
      <c r="K27" s="70"/>
      <c r="L27" s="107"/>
      <c r="M27" s="11">
        <f t="shared" si="1"/>
        <v>2041</v>
      </c>
      <c r="N27" s="113">
        <f t="shared" si="6"/>
        <v>19352.624851053777</v>
      </c>
      <c r="O27" s="114">
        <f t="shared" si="7"/>
        <v>1.6374253429034313E-2</v>
      </c>
      <c r="P27" s="115">
        <f t="shared" si="8"/>
        <v>0.45199467393398568</v>
      </c>
      <c r="Q27" s="116">
        <f t="shared" si="4"/>
        <v>1</v>
      </c>
      <c r="R27" s="31">
        <f>IF(M27=Year_Open_to_Traffic?,Calculations!$J$5,Calculations!R26+(Calculations!R26*Calculations!O27*Q27))</f>
        <v>5176721.832247776</v>
      </c>
      <c r="S27" s="46">
        <f t="shared" si="0"/>
        <v>1</v>
      </c>
      <c r="T27" s="31">
        <f t="shared" si="5"/>
        <v>5176.7218322477756</v>
      </c>
      <c r="U27" s="32">
        <f>T27/(1+Real_Discount_Rate)^(Calculations!M27-'Assumed Values'!$C$5)</f>
        <v>1092.0133364577841</v>
      </c>
    </row>
    <row r="28" spans="1:21" ht="15.6">
      <c r="A28" s="39" t="s">
        <v>129</v>
      </c>
      <c r="B28" s="40" t="s">
        <v>130</v>
      </c>
      <c r="D28" s="125">
        <f>D$26*'Value of Statistical Life'!D18*Appropriate_Crash_Reduction_Factor</f>
        <v>0</v>
      </c>
      <c r="E28" s="125">
        <f>E$26*'Value of Statistical Life'!E18*Appropriate_Crash_Reduction_Factor</f>
        <v>0.4391571598484531</v>
      </c>
      <c r="F28" s="125">
        <f>F$26*'Value of Statistical Life'!F18*Appropriate_Crash_Reduction_Factor</f>
        <v>2.9860710397496701</v>
      </c>
      <c r="G28" s="125">
        <f>G$26*'Value of Statistical Life'!G18*Appropriate_Crash_Reduction_Factor</f>
        <v>4.223076887768122</v>
      </c>
      <c r="H28" s="125">
        <f>H$26*'Value of Statistical Life'!H18*Appropriate_Crash_Reduction_Factor</f>
        <v>4.1998523708049822</v>
      </c>
      <c r="I28" s="125">
        <f>I$26*'Value of Statistical Life'!I18*Appropriate_Crash_Reduction_Factor</f>
        <v>0.79908461005794273</v>
      </c>
      <c r="J28" s="125">
        <f t="shared" si="9"/>
        <v>12.647242068229168</v>
      </c>
      <c r="K28" s="70"/>
      <c r="L28" s="107"/>
      <c r="M28" s="108">
        <f t="shared" si="1"/>
        <v>2042</v>
      </c>
      <c r="N28" s="113">
        <f t="shared" si="6"/>
        <v>19669.509634881961</v>
      </c>
      <c r="O28" s="114">
        <f t="shared" si="7"/>
        <v>1.6374253429034313E-2</v>
      </c>
      <c r="P28" s="115">
        <f t="shared" si="8"/>
        <v>0.44435059006343797</v>
      </c>
      <c r="Q28" s="116">
        <f t="shared" si="4"/>
        <v>1</v>
      </c>
      <c r="R28" s="31">
        <f>IF(M28=Year_Open_to_Traffic?,Calculations!$J$5,Calculations!R27+(Calculations!R27*Calculations!O28*Q28))</f>
        <v>5261486.7874606159</v>
      </c>
      <c r="S28" s="46">
        <f t="shared" si="0"/>
        <v>1</v>
      </c>
      <c r="T28" s="31">
        <f t="shared" si="5"/>
        <v>5261.4867874606161</v>
      </c>
      <c r="U28" s="32">
        <f>T28/(1+Real_Discount_Rate)^(Calculations!M28-'Assumed Values'!$C$5)</f>
        <v>1037.2843360531115</v>
      </c>
    </row>
    <row r="29" spans="1:21" ht="15.6">
      <c r="A29" s="39" t="s">
        <v>131</v>
      </c>
      <c r="B29" s="40" t="s">
        <v>132</v>
      </c>
      <c r="D29" s="125">
        <f>D$26*'Value of Statistical Life'!D19*Appropriate_Crash_Reduction_Factor</f>
        <v>0</v>
      </c>
      <c r="E29" s="125">
        <f>E$26*'Value of Statistical Life'!E19*Appropriate_Crash_Reduction_Factor</f>
        <v>0.16559176717544874</v>
      </c>
      <c r="F29" s="125">
        <f>F$26*'Value of Statistical Life'!F19*Appropriate_Crash_Reduction_Factor</f>
        <v>0.42348948103525241</v>
      </c>
      <c r="G29" s="125">
        <f>G$26*'Value of Statistical Life'!G19*Appropriate_Crash_Reduction_Factor</f>
        <v>0.39146120717265781</v>
      </c>
      <c r="H29" s="125">
        <f>H$26*'Value of Statistical Life'!H19*Appropriate_Crash_Reduction_Factor</f>
        <v>0.11458877902981765</v>
      </c>
      <c r="I29" s="125">
        <f>I$26*'Value of Statistical Life'!I19*Appropriate_Crash_Reduction_Factor</f>
        <v>0.16985262369568194</v>
      </c>
      <c r="J29" s="125">
        <f t="shared" si="9"/>
        <v>1.2649838581088586</v>
      </c>
      <c r="K29" s="70"/>
      <c r="L29" s="107"/>
      <c r="M29" s="11">
        <f t="shared" si="1"/>
        <v>2043</v>
      </c>
      <c r="N29" s="113">
        <f t="shared" si="6"/>
        <v>19991.583170468351</v>
      </c>
      <c r="O29" s="114">
        <f t="shared" si="7"/>
        <v>1.6374253429034313E-2</v>
      </c>
      <c r="P29" s="115">
        <f t="shared" si="8"/>
        <v>0.43683578209278395</v>
      </c>
      <c r="Q29" s="116">
        <f t="shared" si="4"/>
        <v>1</v>
      </c>
      <c r="R29" s="31">
        <f>IF(M29=Year_Open_to_Traffic?,Calculations!$J$5,Calculations!R28+(Calculations!R28*Calculations!O29*Q29))</f>
        <v>5347639.7055320116</v>
      </c>
      <c r="S29" s="46">
        <f t="shared" si="0"/>
        <v>1</v>
      </c>
      <c r="T29" s="31">
        <f t="shared" si="5"/>
        <v>5347.6397055320112</v>
      </c>
      <c r="U29" s="32">
        <f>T29/(1+Real_Discount_Rate)^(Calculations!M29-'Assumed Values'!$C$5)</f>
        <v>985.29821742954448</v>
      </c>
    </row>
    <row r="30" spans="1:21" ht="15.6">
      <c r="A30" s="39" t="s">
        <v>133</v>
      </c>
      <c r="B30" s="40" t="s">
        <v>134</v>
      </c>
      <c r="D30" s="125">
        <f>D$26*'Value of Statistical Life'!D20*Appropriate_Crash_Reduction_Factor</f>
        <v>0</v>
      </c>
      <c r="E30" s="125">
        <f>E$26*'Value of Statistical Life'!E20*Appropriate_Crash_Reduction_Factor</f>
        <v>0.11434132115515369</v>
      </c>
      <c r="F30" s="125">
        <f>F$26*'Value of Statistical Life'!F20*Appropriate_Crash_Reduction_Factor</f>
        <v>0.12400026922219587</v>
      </c>
      <c r="G30" s="125">
        <f>G$26*'Value of Statistical Life'!G20*Appropriate_Crash_Reduction_Factor</f>
        <v>6.5600837565626138E-2</v>
      </c>
      <c r="H30" s="125">
        <f>H$26*'Value of Statistical Life'!H20*Appropriate_Crash_Reduction_Factor</f>
        <v>4.6298496577704094E-3</v>
      </c>
      <c r="I30" s="125">
        <f>I$26*'Value of Statistical Life'!I20*Appropriate_Crash_Reduction_Factor</f>
        <v>9.2220478848297996E-2</v>
      </c>
      <c r="J30" s="125">
        <f t="shared" si="9"/>
        <v>0.40079275644904411</v>
      </c>
      <c r="K30" s="70"/>
      <c r="L30" s="107"/>
      <c r="M30" s="11">
        <f t="shared" si="1"/>
        <v>2044</v>
      </c>
      <c r="N30" s="113">
        <f t="shared" si="6"/>
        <v>20318.930419749217</v>
      </c>
      <c r="O30" s="114">
        <f t="shared" si="7"/>
        <v>1.6374253429034313E-2</v>
      </c>
      <c r="P30" s="115">
        <f t="shared" si="8"/>
        <v>0.42944806372232092</v>
      </c>
      <c r="Q30" s="116">
        <f t="shared" si="4"/>
        <v>1</v>
      </c>
      <c r="R30" s="31">
        <f>IF(M30=Year_Open_to_Traffic?,Calculations!$J$5,Calculations!R29+(Calculations!R29*Calculations!O30*Q30))</f>
        <v>5435203.3133175587</v>
      </c>
      <c r="S30" s="46">
        <f t="shared" si="0"/>
        <v>1</v>
      </c>
      <c r="T30" s="31">
        <f t="shared" si="5"/>
        <v>5435.2033133175592</v>
      </c>
      <c r="U30" s="32">
        <f>T30/(1+Real_Discount_Rate)^(Calculations!M30-'Assumed Values'!$C$5)</f>
        <v>935.91751415412318</v>
      </c>
    </row>
    <row r="31" spans="1:21" ht="15.6">
      <c r="A31" s="39" t="s">
        <v>135</v>
      </c>
      <c r="B31" s="40" t="s">
        <v>136</v>
      </c>
      <c r="D31" s="125">
        <f>D$26*'Value of Statistical Life'!D21*Appropriate_Crash_Reduction_Factor</f>
        <v>0</v>
      </c>
      <c r="E31" s="125">
        <f>E$26*'Value of Statistical Life'!E21*Appropriate_Crash_Reduction_Factor</f>
        <v>3.1569197625853203E-2</v>
      </c>
      <c r="F31" s="125">
        <f>F$26*'Value of Statistical Life'!F21*Appropriate_Crash_Reduction_Factor</f>
        <v>2.4092813198922418E-2</v>
      </c>
      <c r="G31" s="125">
        <f>G$26*'Value of Statistical Life'!G21*Appropriate_Crash_Reduction_Factor</f>
        <v>8.6977767827440804E-3</v>
      </c>
      <c r="H31" s="125">
        <f>H$26*'Value of Statistical Life'!H21*Appropriate_Crash_Reduction_Factor</f>
        <v>0</v>
      </c>
      <c r="I31" s="125">
        <f>I$26*'Value of Statistical Life'!I21*Appropriate_Crash_Reduction_Factor</f>
        <v>1.1812338685779505E-2</v>
      </c>
      <c r="J31" s="125">
        <f t="shared" si="9"/>
        <v>7.6172126293299211E-2</v>
      </c>
      <c r="K31" s="70"/>
      <c r="L31" s="107"/>
      <c r="M31" s="11">
        <f t="shared" si="1"/>
        <v>2045</v>
      </c>
      <c r="N31" s="113">
        <f t="shared" si="6"/>
        <v>20651.637735849105</v>
      </c>
      <c r="O31" s="114">
        <f t="shared" si="7"/>
        <v>1.6374253429034313E-2</v>
      </c>
      <c r="P31" s="115">
        <f t="shared" si="8"/>
        <v>0.42218528562680468</v>
      </c>
      <c r="Q31" s="116">
        <f t="shared" si="4"/>
        <v>1</v>
      </c>
      <c r="R31" s="31">
        <f>IF(M31=Year_Open_to_Traffic?,Calculations!$J$5,Calculations!R30+(Calculations!R30*Calculations!O31*Q31))</f>
        <v>5524200.7098081475</v>
      </c>
      <c r="S31" s="46">
        <f t="shared" si="0"/>
        <v>1</v>
      </c>
      <c r="T31" s="31">
        <f t="shared" si="5"/>
        <v>5524.2007098081476</v>
      </c>
      <c r="U31" s="32">
        <f>T31/(1+Real_Discount_Rate)^(Calculations!M31-'Assumed Values'!$C$5)</f>
        <v>889.01164927061154</v>
      </c>
    </row>
    <row r="32" spans="1:21" ht="15.6">
      <c r="A32" s="39" t="s">
        <v>137</v>
      </c>
      <c r="B32" s="40" t="s">
        <v>138</v>
      </c>
      <c r="D32" s="125">
        <f>D$26*'Value of Statistical Life'!D22*Appropriate_Crash_Reduction_Factor</f>
        <v>0</v>
      </c>
      <c r="E32" s="125">
        <f>E$26*'Value of Statistical Life'!E22*Appropriate_Crash_Reduction_Factor</f>
        <v>1.4121394723255456E-2</v>
      </c>
      <c r="F32" s="125">
        <f>F$26*'Value of Statistical Life'!F22*Appropriate_Crash_Reduction_Factor</f>
        <v>3.9247969888567174E-3</v>
      </c>
      <c r="G32" s="125">
        <f>G$26*'Value of Statistical Life'!G22*Appropriate_Crash_Reduction_Factor</f>
        <v>7.9627533926530307E-4</v>
      </c>
      <c r="H32" s="125">
        <f>H$26*'Value of Statistical Life'!H22*Appropriate_Crash_Reduction_Factor</f>
        <v>1.7361936216639035E-3</v>
      </c>
      <c r="I32" s="125">
        <f>I$26*'Value of Statistical Life'!I22*Appropriate_Crash_Reduction_Factor</f>
        <v>5.3413978822244431E-3</v>
      </c>
      <c r="J32" s="125">
        <f t="shared" si="9"/>
        <v>2.5920058555265826E-2</v>
      </c>
      <c r="K32" s="70"/>
      <c r="L32" s="107"/>
      <c r="M32" s="11">
        <f t="shared" si="1"/>
        <v>2046</v>
      </c>
      <c r="N32" s="113">
        <f t="shared" si="6"/>
        <v>20989.792885860505</v>
      </c>
      <c r="O32" s="114">
        <f t="shared" si="7"/>
        <v>1.6374253429034313E-2</v>
      </c>
      <c r="P32" s="115">
        <f t="shared" si="8"/>
        <v>0.41504533483014161</v>
      </c>
      <c r="Q32" s="116">
        <f t="shared" si="4"/>
        <v>1</v>
      </c>
      <c r="R32" s="31">
        <f>IF(M32=Year_Open_to_Traffic?,Calculations!$J$5,Calculations!R31+(Calculations!R31*Calculations!O32*Q32))</f>
        <v>5614655.3722233977</v>
      </c>
      <c r="S32" s="46">
        <f t="shared" si="0"/>
        <v>0</v>
      </c>
      <c r="T32" s="31">
        <f t="shared" si="5"/>
        <v>0</v>
      </c>
      <c r="U32" s="32">
        <f>T32/(1+Real_Discount_Rate)^(Calculations!M32-'Assumed Values'!$C$5)</f>
        <v>0</v>
      </c>
    </row>
    <row r="33" spans="1:21" ht="15.6">
      <c r="A33" s="39" t="s">
        <v>139</v>
      </c>
      <c r="B33" s="40" t="s">
        <v>140</v>
      </c>
      <c r="D33" s="125">
        <f>D$26*'Value of Statistical Life'!D23*Appropriate_Crash_Reduction_Factor</f>
        <v>0.22221637374845674</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0.22221637374845674</v>
      </c>
      <c r="K33" s="70"/>
      <c r="L33" s="107"/>
      <c r="M33" s="11">
        <f t="shared" si="1"/>
        <v>2047</v>
      </c>
      <c r="N33" s="113">
        <f t="shared" si="6"/>
        <v>21333.485073996526</v>
      </c>
      <c r="O33" s="114">
        <f t="shared" si="7"/>
        <v>1.6374253429034313E-2</v>
      </c>
      <c r="P33" s="115">
        <f t="shared" si="8"/>
        <v>0.40802613409065563</v>
      </c>
      <c r="Q33" s="116">
        <f t="shared" si="4"/>
        <v>1</v>
      </c>
      <c r="R33" s="31">
        <f>IF(M33=Year_Open_to_Traffic?,Calculations!$J$5,Calculations!R32+(Calculations!R32*Calculations!O33*Q33))</f>
        <v>5706591.1622048728</v>
      </c>
      <c r="S33" s="46">
        <f t="shared" si="0"/>
        <v>0</v>
      </c>
      <c r="T33" s="31">
        <f t="shared" si="5"/>
        <v>0</v>
      </c>
      <c r="U33" s="32">
        <f>T33/(1+Real_Discount_Rate)^(Calculations!M33-'Assumed Values'!$C$5)</f>
        <v>0</v>
      </c>
    </row>
    <row r="34" spans="1:21" ht="15.6">
      <c r="J34" s="126"/>
      <c r="L34" s="107"/>
      <c r="M34" s="11">
        <f t="shared" si="1"/>
        <v>2048</v>
      </c>
      <c r="N34" s="113">
        <f t="shared" si="6"/>
        <v>21682.804965122665</v>
      </c>
      <c r="O34" s="114">
        <f t="shared" si="7"/>
        <v>1.6374253429034313E-2</v>
      </c>
      <c r="P34" s="115">
        <f t="shared" si="8"/>
        <v>0.40112564129675193</v>
      </c>
      <c r="Q34" s="116">
        <f t="shared" si="4"/>
        <v>1</v>
      </c>
      <c r="R34" s="31">
        <f>IF(M34=Year_Open_to_Traffic?,Calculations!$J$5,Calculations!R33+(Calculations!R33*Calculations!O34*Q34))</f>
        <v>5800032.332110703</v>
      </c>
      <c r="S34" s="46">
        <f t="shared" si="0"/>
        <v>0</v>
      </c>
      <c r="T34" s="31">
        <f t="shared" si="5"/>
        <v>0</v>
      </c>
      <c r="U34" s="32">
        <f>T34/(1+Real_Discount_Rate)^(Calculations!M34-'Assumed Values'!$C$5)</f>
        <v>0</v>
      </c>
    </row>
    <row r="35" spans="1:21" ht="15.6">
      <c r="G35" s="42"/>
      <c r="H35" s="42"/>
      <c r="L35" s="107"/>
      <c r="M35" s="11">
        <f t="shared" si="1"/>
        <v>2049</v>
      </c>
      <c r="N35" s="113">
        <f t="shared" si="6"/>
        <v>22037.844708673907</v>
      </c>
      <c r="O35" s="114">
        <f t="shared" si="7"/>
        <v>1.6374253429034313E-2</v>
      </c>
      <c r="P35" s="115">
        <f t="shared" si="8"/>
        <v>0.39434184887280088</v>
      </c>
      <c r="Q35" s="116">
        <f t="shared" si="4"/>
        <v>1</v>
      </c>
      <c r="R35" s="31">
        <f>IF(M35=Year_Open_to_Traffic?,Calculations!$J$5,Calculations!R34+(Calculations!R34*Calculations!O35*Q35))</f>
        <v>5895003.5314132767</v>
      </c>
      <c r="S35" s="46">
        <f t="shared" si="0"/>
        <v>0</v>
      </c>
      <c r="T35" s="31">
        <f t="shared" si="5"/>
        <v>0</v>
      </c>
      <c r="U35" s="32">
        <f>T35/(1+Real_Discount_Rate)^(Calculations!M35-'Assumed Values'!$C$5)</f>
        <v>0</v>
      </c>
    </row>
    <row r="36" spans="1:21" ht="15.6">
      <c r="G36" s="42"/>
      <c r="H36" s="42"/>
      <c r="L36" s="107"/>
      <c r="M36" s="11">
        <f t="shared" si="1"/>
        <v>2050</v>
      </c>
      <c r="N36" s="113">
        <f t="shared" si="6"/>
        <v>22398.697962963437</v>
      </c>
      <c r="O36" s="114">
        <f t="shared" si="7"/>
        <v>1.6374253429034313E-2</v>
      </c>
      <c r="P36" s="115">
        <f t="shared" si="8"/>
        <v>0.38767278319506948</v>
      </c>
      <c r="Q36" s="116">
        <f t="shared" si="4"/>
        <v>1</v>
      </c>
      <c r="R36" s="31">
        <f>IF(M36=Year_Open_to_Traffic?,Calculations!$J$5,Calculations!R35+(Calculations!R35*Calculations!O36*Q36))</f>
        <v>5991529.8132016901</v>
      </c>
      <c r="S36" s="46">
        <f t="shared" si="0"/>
        <v>0</v>
      </c>
      <c r="T36" s="31">
        <f t="shared" si="5"/>
        <v>0</v>
      </c>
      <c r="U36" s="32">
        <f>T36/(1+Real_Discount_Rate)^(Calculations!M36-'Assumed Values'!$C$5)</f>
        <v>0</v>
      </c>
    </row>
    <row r="37" spans="1:21">
      <c r="M37" s="40"/>
      <c r="N37" s="40"/>
      <c r="O37" s="119"/>
      <c r="P37" s="121"/>
      <c r="Q37" s="40"/>
      <c r="R37" s="40"/>
      <c r="S37" s="40"/>
      <c r="T37" s="40"/>
      <c r="U37" s="32">
        <f>SUM(U4:U36)</f>
        <v>30268.83592962044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2.599999999999994"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50</v>
      </c>
      <c r="D3" t="s">
        <v>161</v>
      </c>
      <c r="G3" s="40" t="s">
        <v>162</v>
      </c>
      <c r="H3" s="128" t="s">
        <v>163</v>
      </c>
      <c r="Q3" s="87"/>
      <c r="R3" s="86"/>
      <c r="S3" s="86"/>
      <c r="T3" s="86"/>
      <c r="U3" s="86"/>
      <c r="V3" s="86"/>
      <c r="W3" s="86"/>
      <c r="X3" s="86"/>
    </row>
    <row r="4" spans="3:24">
      <c r="C4" t="s">
        <v>164</v>
      </c>
      <c r="D4" t="s">
        <v>53</v>
      </c>
      <c r="G4" s="40" t="s">
        <v>165</v>
      </c>
      <c r="H4" s="128" t="s">
        <v>166</v>
      </c>
      <c r="Q4" s="87"/>
      <c r="R4" s="86"/>
      <c r="S4" s="86"/>
      <c r="T4" s="86"/>
      <c r="U4" s="86"/>
      <c r="V4" s="86"/>
      <c r="W4" s="86"/>
      <c r="X4" s="86"/>
    </row>
    <row r="5" spans="3:24">
      <c r="C5" t="s">
        <v>167</v>
      </c>
      <c r="G5" s="40" t="s">
        <v>168</v>
      </c>
      <c r="H5" s="128" t="s">
        <v>169</v>
      </c>
      <c r="Q5" s="87"/>
      <c r="R5" s="86"/>
      <c r="S5" s="86"/>
      <c r="T5" s="86"/>
      <c r="U5" s="86"/>
      <c r="V5" s="86"/>
      <c r="W5" s="86"/>
      <c r="X5" s="86"/>
    </row>
    <row r="6" spans="3:24">
      <c r="C6" t="s">
        <v>170</v>
      </c>
      <c r="G6" s="40" t="s">
        <v>171</v>
      </c>
      <c r="H6" s="128" t="s">
        <v>172</v>
      </c>
      <c r="Q6" s="87"/>
      <c r="R6" s="86"/>
      <c r="S6" s="86"/>
      <c r="T6" s="86"/>
      <c r="U6" s="86"/>
      <c r="V6" s="86"/>
      <c r="W6" s="86"/>
      <c r="X6" s="86"/>
    </row>
    <row r="7" spans="3:24">
      <c r="C7" t="s">
        <v>173</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0"/>
      <c r="T12" s="140"/>
      <c r="U12" s="140"/>
      <c r="V12" s="140"/>
      <c r="W12" s="140"/>
      <c r="X12" s="140"/>
    </row>
    <row r="13" spans="3:24">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0"/>
      <c r="T26" s="140"/>
      <c r="U26" s="140"/>
      <c r="V26" s="140"/>
      <c r="W26" s="140"/>
      <c r="X26" s="140"/>
    </row>
    <row r="27" spans="3:24">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29.1">
      <c r="C18" s="73" t="s">
        <v>220</v>
      </c>
      <c r="D18" s="93">
        <v>122</v>
      </c>
      <c r="E18" s="94">
        <v>0.1</v>
      </c>
      <c r="F18" s="95">
        <v>10</v>
      </c>
    </row>
    <row r="19" spans="3:6">
      <c r="C19" s="73" t="s">
        <v>221</v>
      </c>
      <c r="D19" s="93">
        <v>123</v>
      </c>
      <c r="E19" s="94">
        <v>0.1</v>
      </c>
      <c r="F19" s="95">
        <v>10</v>
      </c>
    </row>
    <row r="20" spans="3:6" ht="29.1">
      <c r="C20" s="73" t="s">
        <v>222</v>
      </c>
      <c r="D20" s="93">
        <v>124</v>
      </c>
      <c r="E20" s="94">
        <v>0.15</v>
      </c>
      <c r="F20" s="95">
        <v>10</v>
      </c>
    </row>
    <row r="21" spans="3:6">
      <c r="C21" s="72" t="s">
        <v>223</v>
      </c>
      <c r="D21" s="93">
        <v>125</v>
      </c>
      <c r="E21" s="96">
        <v>0.15</v>
      </c>
      <c r="F21" s="95">
        <v>10</v>
      </c>
    </row>
    <row r="22" spans="3:6" ht="29.1">
      <c r="C22" s="73" t="s">
        <v>224</v>
      </c>
      <c r="D22" s="93">
        <v>126</v>
      </c>
      <c r="E22" s="94">
        <v>0.2</v>
      </c>
      <c r="F22" s="95">
        <v>10</v>
      </c>
    </row>
    <row r="23" spans="3:6" ht="29.1">
      <c r="C23" s="73" t="s">
        <v>225</v>
      </c>
      <c r="D23" s="93">
        <v>127</v>
      </c>
      <c r="E23" s="94">
        <v>0.1</v>
      </c>
      <c r="F23" s="95">
        <v>10</v>
      </c>
    </row>
    <row r="24" spans="3:6" ht="29.1">
      <c r="C24" s="73" t="s">
        <v>226</v>
      </c>
      <c r="D24" s="93">
        <v>128</v>
      </c>
      <c r="E24" s="94">
        <v>0.05</v>
      </c>
      <c r="F24" s="95">
        <v>6</v>
      </c>
    </row>
    <row r="25" spans="3:6" ht="29.1">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234</v>
      </c>
      <c r="D32" s="93">
        <v>203</v>
      </c>
      <c r="E32" s="94">
        <v>0.4</v>
      </c>
      <c r="F32" s="95">
        <v>20</v>
      </c>
    </row>
    <row r="33" spans="3:6">
      <c r="C33" s="73" t="s">
        <v>235</v>
      </c>
      <c r="D33" s="93">
        <v>204</v>
      </c>
      <c r="E33" s="94">
        <v>0.46</v>
      </c>
      <c r="F33" s="95">
        <v>20</v>
      </c>
    </row>
    <row r="34" spans="3:6">
      <c r="C34" s="72" t="s">
        <v>236</v>
      </c>
      <c r="D34" s="93">
        <v>205</v>
      </c>
      <c r="E34" s="96">
        <v>0.15</v>
      </c>
      <c r="F34" s="95">
        <v>10</v>
      </c>
    </row>
    <row r="35" spans="3:6">
      <c r="C35" s="72" t="s">
        <v>237</v>
      </c>
      <c r="D35" s="93">
        <v>206</v>
      </c>
      <c r="E35" s="94">
        <v>7.0000000000000007E-2</v>
      </c>
      <c r="F35" s="95">
        <v>10</v>
      </c>
    </row>
    <row r="36" spans="3:6">
      <c r="C36" s="73" t="s">
        <v>238</v>
      </c>
      <c r="D36" s="93">
        <v>207</v>
      </c>
      <c r="E36" s="94">
        <v>0.3</v>
      </c>
      <c r="F36" s="95">
        <v>10</v>
      </c>
    </row>
    <row r="37" spans="3:6">
      <c r="C37" s="72" t="s">
        <v>239</v>
      </c>
      <c r="D37" s="93">
        <v>209</v>
      </c>
      <c r="E37" s="96">
        <v>0.55000000000000004</v>
      </c>
      <c r="F37" s="95">
        <v>20</v>
      </c>
    </row>
    <row r="38" spans="3:6">
      <c r="C38" s="72" t="s">
        <v>240</v>
      </c>
      <c r="D38" s="93">
        <v>217</v>
      </c>
      <c r="E38" s="94">
        <v>0.6</v>
      </c>
      <c r="F38" s="95">
        <v>10</v>
      </c>
    </row>
    <row r="39" spans="3:6">
      <c r="C39" s="72" t="s">
        <v>241</v>
      </c>
      <c r="D39" s="93">
        <v>218</v>
      </c>
      <c r="E39" s="94">
        <v>0.55000000000000004</v>
      </c>
      <c r="F39" s="95">
        <v>20</v>
      </c>
    </row>
    <row r="40" spans="3:6">
      <c r="C40" s="72" t="s">
        <v>242</v>
      </c>
      <c r="D40" s="93">
        <v>219</v>
      </c>
      <c r="E40" s="94">
        <v>0.1</v>
      </c>
      <c r="F40" s="95">
        <v>10</v>
      </c>
    </row>
    <row r="41" spans="3:6">
      <c r="C41" s="72" t="s">
        <v>243</v>
      </c>
      <c r="D41" s="93">
        <v>222</v>
      </c>
      <c r="E41" s="94">
        <v>0.1</v>
      </c>
      <c r="F41" s="95">
        <v>10</v>
      </c>
    </row>
    <row r="42" spans="3:6">
      <c r="C42" s="72" t="s">
        <v>244</v>
      </c>
      <c r="D42" s="93">
        <v>303</v>
      </c>
      <c r="E42" s="94">
        <v>0.42</v>
      </c>
      <c r="F42" s="95">
        <v>10</v>
      </c>
    </row>
    <row r="43" spans="3:6">
      <c r="C43" s="73" t="s">
        <v>245</v>
      </c>
      <c r="D43" s="93">
        <v>304</v>
      </c>
      <c r="E43" s="94">
        <v>0.4</v>
      </c>
      <c r="F43" s="95">
        <v>15</v>
      </c>
    </row>
    <row r="44" spans="3:6">
      <c r="C44" s="72" t="s">
        <v>246</v>
      </c>
      <c r="D44" s="93">
        <v>305</v>
      </c>
      <c r="E44" s="96">
        <v>0.75</v>
      </c>
      <c r="F44" s="95">
        <v>15</v>
      </c>
    </row>
    <row r="45" spans="3:6">
      <c r="C45" s="40" t="s">
        <v>247</v>
      </c>
      <c r="D45" s="95">
        <v>401</v>
      </c>
      <c r="E45" s="97">
        <v>0.2</v>
      </c>
      <c r="F45" s="95">
        <v>2</v>
      </c>
    </row>
    <row r="46" spans="3:6">
      <c r="C46" s="40" t="s">
        <v>248</v>
      </c>
      <c r="D46" s="95">
        <v>402</v>
      </c>
      <c r="E46" s="97">
        <v>0.25</v>
      </c>
      <c r="F46" s="95">
        <v>2</v>
      </c>
    </row>
    <row r="47" spans="3:6">
      <c r="C47" s="73" t="s">
        <v>249</v>
      </c>
      <c r="D47" s="95">
        <v>403</v>
      </c>
      <c r="E47" s="97">
        <v>0.1</v>
      </c>
      <c r="F47" s="95">
        <v>2</v>
      </c>
    </row>
    <row r="48" spans="3:6">
      <c r="C48" s="73" t="s">
        <v>250</v>
      </c>
      <c r="D48" s="95">
        <v>404</v>
      </c>
      <c r="E48" s="97">
        <v>0.65</v>
      </c>
      <c r="F48" s="95">
        <v>2</v>
      </c>
    </row>
    <row r="49" spans="3:6">
      <c r="C49" s="40" t="s">
        <v>251</v>
      </c>
      <c r="D49" s="95">
        <v>407</v>
      </c>
      <c r="E49" s="96">
        <v>0.2</v>
      </c>
      <c r="F49" s="95">
        <v>10</v>
      </c>
    </row>
    <row r="50" spans="3:6">
      <c r="C50" s="72" t="s">
        <v>252</v>
      </c>
      <c r="D50" s="93">
        <v>501</v>
      </c>
      <c r="E50" s="94">
        <v>0.15</v>
      </c>
      <c r="F50" s="95">
        <v>20</v>
      </c>
    </row>
    <row r="51" spans="3:6">
      <c r="C51" s="72" t="s">
        <v>253</v>
      </c>
      <c r="D51" s="93">
        <v>502</v>
      </c>
      <c r="E51" s="94">
        <v>0.3</v>
      </c>
      <c r="F51" s="95">
        <v>20</v>
      </c>
    </row>
    <row r="52" spans="3:6">
      <c r="C52" s="72" t="s">
        <v>254</v>
      </c>
      <c r="D52" s="93">
        <v>503</v>
      </c>
      <c r="E52" s="94">
        <v>0.25</v>
      </c>
      <c r="F52" s="95">
        <v>20</v>
      </c>
    </row>
    <row r="53" spans="3:6">
      <c r="C53" s="72" t="s">
        <v>255</v>
      </c>
      <c r="D53" s="93">
        <v>504</v>
      </c>
      <c r="E53" s="94">
        <v>0.25</v>
      </c>
      <c r="F53" s="95">
        <v>20</v>
      </c>
    </row>
    <row r="54" spans="3:6">
      <c r="C54" s="73" t="s">
        <v>256</v>
      </c>
      <c r="D54" s="93">
        <v>505</v>
      </c>
      <c r="E54" s="94">
        <v>0.5</v>
      </c>
      <c r="F54" s="95">
        <v>10</v>
      </c>
    </row>
    <row r="55" spans="3:6">
      <c r="C55" s="72" t="s">
        <v>257</v>
      </c>
      <c r="D55" s="93">
        <v>506</v>
      </c>
      <c r="E55" s="96">
        <v>0.5</v>
      </c>
      <c r="F55" s="95">
        <v>10</v>
      </c>
    </row>
    <row r="56" spans="3:6">
      <c r="C56" s="73" t="s">
        <v>258</v>
      </c>
      <c r="D56" s="93">
        <v>507</v>
      </c>
      <c r="E56" s="96">
        <v>0.65</v>
      </c>
      <c r="F56" s="95">
        <v>10</v>
      </c>
    </row>
    <row r="57" spans="3:6">
      <c r="C57" s="73" t="s">
        <v>259</v>
      </c>
      <c r="D57" s="93">
        <v>510</v>
      </c>
      <c r="E57" s="96">
        <v>0.4</v>
      </c>
      <c r="F57" s="95">
        <v>10</v>
      </c>
    </row>
    <row r="58" spans="3:6">
      <c r="C58" s="72" t="s">
        <v>260</v>
      </c>
      <c r="D58" s="93">
        <v>511</v>
      </c>
      <c r="E58" s="96">
        <v>0.1</v>
      </c>
      <c r="F58" s="95">
        <v>10</v>
      </c>
    </row>
    <row r="59" spans="3:6">
      <c r="C59" s="72" t="s">
        <v>261</v>
      </c>
      <c r="D59" s="93">
        <v>514</v>
      </c>
      <c r="E59" s="94">
        <v>0.8</v>
      </c>
      <c r="F59" s="95">
        <v>30</v>
      </c>
    </row>
    <row r="60" spans="3:6">
      <c r="C60" s="72" t="s">
        <v>262</v>
      </c>
      <c r="D60" s="93">
        <v>515</v>
      </c>
      <c r="E60" s="94">
        <v>0.65</v>
      </c>
      <c r="F60" s="95">
        <v>30</v>
      </c>
    </row>
    <row r="61" spans="3:6">
      <c r="C61" s="73" t="s">
        <v>263</v>
      </c>
      <c r="D61" s="93">
        <v>516</v>
      </c>
      <c r="E61" s="94">
        <v>0.95</v>
      </c>
      <c r="F61" s="95">
        <v>20</v>
      </c>
    </row>
    <row r="62" spans="3:6">
      <c r="C62" s="72" t="s">
        <v>264</v>
      </c>
      <c r="D62" s="93">
        <v>517</v>
      </c>
      <c r="E62" s="96">
        <v>0.28000000000000003</v>
      </c>
      <c r="F62" s="95">
        <v>20</v>
      </c>
    </row>
    <row r="63" spans="3:6">
      <c r="C63" s="72" t="s">
        <v>265</v>
      </c>
      <c r="D63" s="93">
        <v>518</v>
      </c>
      <c r="E63" s="94">
        <v>0.45</v>
      </c>
      <c r="F63" s="95">
        <v>10</v>
      </c>
    </row>
    <row r="64" spans="3:6">
      <c r="C64" s="72" t="s">
        <v>266</v>
      </c>
      <c r="D64" s="93">
        <v>519</v>
      </c>
      <c r="E64" s="94">
        <v>0.25</v>
      </c>
      <c r="F64" s="95">
        <v>10</v>
      </c>
    </row>
    <row r="65" spans="3:6">
      <c r="C65" s="72" t="s">
        <v>267</v>
      </c>
      <c r="D65" s="93">
        <v>520</v>
      </c>
      <c r="E65" s="94">
        <v>0.4</v>
      </c>
      <c r="F65" s="95">
        <v>10</v>
      </c>
    </row>
    <row r="66" spans="3:6">
      <c r="C66" s="72" t="s">
        <v>268</v>
      </c>
      <c r="D66" s="93">
        <v>521</v>
      </c>
      <c r="E66" s="94">
        <v>0.25</v>
      </c>
      <c r="F66" s="95">
        <v>10</v>
      </c>
    </row>
    <row r="67" spans="3:6">
      <c r="C67" s="72" t="s">
        <v>269</v>
      </c>
      <c r="D67" s="93">
        <v>522</v>
      </c>
      <c r="E67" s="94">
        <v>0.4</v>
      </c>
      <c r="F67" s="95">
        <v>10</v>
      </c>
    </row>
    <row r="68" spans="3:6">
      <c r="C68" s="72" t="s">
        <v>270</v>
      </c>
      <c r="D68" s="93">
        <v>523</v>
      </c>
      <c r="E68" s="94">
        <v>0.95</v>
      </c>
      <c r="F68" s="95">
        <v>10</v>
      </c>
    </row>
    <row r="69" spans="3:6">
      <c r="C69" s="72" t="s">
        <v>271</v>
      </c>
      <c r="D69" s="93">
        <v>524</v>
      </c>
      <c r="E69" s="94">
        <v>0.1</v>
      </c>
      <c r="F69" s="95">
        <v>10</v>
      </c>
    </row>
    <row r="70" spans="3:6">
      <c r="C70" s="73" t="s">
        <v>272</v>
      </c>
      <c r="D70" s="93">
        <v>525</v>
      </c>
      <c r="E70" s="94">
        <v>0.25</v>
      </c>
      <c r="F70" s="95">
        <v>10</v>
      </c>
    </row>
    <row r="71" spans="3:6">
      <c r="C71" s="72" t="s">
        <v>273</v>
      </c>
      <c r="D71" s="93">
        <v>526</v>
      </c>
      <c r="E71" s="96">
        <v>0.5</v>
      </c>
      <c r="F71" s="95">
        <v>10</v>
      </c>
    </row>
    <row r="72" spans="3:6">
      <c r="C72" s="72" t="s">
        <v>274</v>
      </c>
      <c r="D72" s="93">
        <v>527</v>
      </c>
      <c r="E72" s="94">
        <v>0.95</v>
      </c>
      <c r="F72" s="95">
        <v>10</v>
      </c>
    </row>
    <row r="73" spans="3:6">
      <c r="C73" s="72" t="s">
        <v>275</v>
      </c>
      <c r="D73" s="93">
        <v>528</v>
      </c>
      <c r="E73" s="94">
        <v>0.2</v>
      </c>
      <c r="F73" s="95">
        <v>10</v>
      </c>
    </row>
    <row r="74" spans="3:6">
      <c r="C74" s="72" t="s">
        <v>276</v>
      </c>
      <c r="D74" s="93">
        <v>529</v>
      </c>
      <c r="E74" s="94">
        <v>0.35</v>
      </c>
      <c r="F74" s="95">
        <v>10</v>
      </c>
    </row>
    <row r="75" spans="3:6">
      <c r="C75" s="72" t="s">
        <v>277</v>
      </c>
      <c r="D75" s="93">
        <v>532</v>
      </c>
      <c r="E75" s="96">
        <v>0.25</v>
      </c>
      <c r="F75" s="95">
        <v>10</v>
      </c>
    </row>
    <row r="76" spans="3:6">
      <c r="C76" s="72" t="s">
        <v>278</v>
      </c>
      <c r="D76" s="93">
        <v>533</v>
      </c>
      <c r="E76" s="94">
        <v>0.15</v>
      </c>
      <c r="F76" s="95">
        <v>5</v>
      </c>
    </row>
    <row r="77" spans="3:6">
      <c r="C77" s="72" t="s">
        <v>279</v>
      </c>
      <c r="D77" s="93">
        <v>535</v>
      </c>
      <c r="E77" s="94">
        <v>0.2</v>
      </c>
      <c r="F77" s="95">
        <v>10</v>
      </c>
    </row>
    <row r="78" spans="3:6">
      <c r="C78" s="72" t="s">
        <v>280</v>
      </c>
      <c r="D78" s="93">
        <v>536</v>
      </c>
      <c r="E78" s="94">
        <v>0.4</v>
      </c>
      <c r="F78" s="95">
        <v>20</v>
      </c>
    </row>
    <row r="79" spans="3:6">
      <c r="C79" s="72" t="s">
        <v>281</v>
      </c>
      <c r="D79" s="93">
        <v>537</v>
      </c>
      <c r="E79" s="94">
        <v>0.4</v>
      </c>
      <c r="F79" s="95">
        <v>20</v>
      </c>
    </row>
    <row r="80" spans="3:6">
      <c r="C80" s="72" t="s">
        <v>70</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CE6CD1-D2A2-480D-BB33-A3C71B3F7265}"/>
</file>

<file path=customXml/itemProps2.xml><?xml version="1.0" encoding="utf-8"?>
<ds:datastoreItem xmlns:ds="http://schemas.openxmlformats.org/officeDocument/2006/customXml" ds:itemID="{0551A01E-BF17-45E8-8C3D-260DAEE63C23}"/>
</file>

<file path=customXml/itemProps3.xml><?xml version="1.0" encoding="utf-8"?>
<ds:datastoreItem xmlns:ds="http://schemas.openxmlformats.org/officeDocument/2006/customXml" ds:itemID="{0191EE4C-36D7-48EE-BF55-3A0350B6DF2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Bradley Brey</cp:lastModifiedBy>
  <cp:revision/>
  <dcterms:created xsi:type="dcterms:W3CDTF">2012-07-25T15:48:32Z</dcterms:created>
  <dcterms:modified xsi:type="dcterms:W3CDTF">2018-10-19T19:38:00Z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