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100_HW_FM517/"/>
    </mc:Choice>
  </mc:AlternateContent>
  <xr:revisionPtr revIDLastSave="36" documentId="8_{F9BD0FCB-449F-4022-BE95-3DF8F9177447}" xr6:coauthVersionLast="37" xr6:coauthVersionMax="40" xr10:uidLastSave="{73EE4503-573E-4BCD-821B-A09C19DD2EC6}"/>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8" i="19" s="1"/>
  <c r="H14" i="19"/>
  <c r="C9" i="19"/>
  <c r="H6" i="19" s="1"/>
  <c r="H15"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J4" i="19"/>
  <c r="T4" i="19" s="1"/>
  <c r="U4" i="19" s="1"/>
  <c r="I14" i="19"/>
  <c r="I30" i="19"/>
  <c r="I18" i="19"/>
  <c r="I19" i="19"/>
  <c r="I9" i="19"/>
  <c r="I29" i="19"/>
  <c r="I16" i="19"/>
  <c r="I20" i="19"/>
  <c r="H12" i="19" l="1"/>
  <c r="G12" i="19" s="1"/>
  <c r="H23" i="19"/>
  <c r="H33" i="19"/>
  <c r="H21" i="19"/>
  <c r="H29" i="19"/>
  <c r="H17" i="19"/>
  <c r="H25" i="19"/>
  <c r="H19" i="19"/>
  <c r="H31" i="19"/>
  <c r="H32" i="19"/>
  <c r="G32" i="19" s="1"/>
  <c r="H34" i="19"/>
  <c r="H27" i="19"/>
  <c r="H16" i="19"/>
  <c r="H18" i="19"/>
  <c r="H36" i="19"/>
  <c r="H35" i="19"/>
  <c r="H22" i="19"/>
  <c r="H24" i="19"/>
  <c r="H26" i="19"/>
  <c r="H20" i="19"/>
  <c r="H30" i="19"/>
  <c r="H13" i="19"/>
  <c r="G13" i="19" s="1"/>
  <c r="H11" i="19"/>
  <c r="H5" i="19"/>
  <c r="G5" i="19" s="1"/>
  <c r="H10" i="19"/>
  <c r="H7" i="19"/>
  <c r="H8" i="19"/>
  <c r="H9" i="19"/>
  <c r="K4" i="19"/>
  <c r="N12" i="19"/>
  <c r="O12" i="19" s="1"/>
  <c r="P12" i="19" s="1"/>
  <c r="Q12" i="19" s="1"/>
  <c r="N5" i="19"/>
  <c r="O5" i="19" s="1"/>
  <c r="P5" i="19" s="1"/>
  <c r="Q5" i="19" s="1"/>
  <c r="J12" i="19"/>
  <c r="N32" i="19"/>
  <c r="O32" i="19" s="1"/>
  <c r="P32" i="19" s="1"/>
  <c r="Q32" i="19" s="1"/>
  <c r="N11" i="19"/>
  <c r="O11" i="19" s="1"/>
  <c r="P11" i="19" s="1"/>
  <c r="Q11" i="19" s="1"/>
  <c r="N31" i="19"/>
  <c r="O31" i="19" s="1"/>
  <c r="P31" i="19" s="1"/>
  <c r="Q31" i="19" s="1"/>
  <c r="J11" i="19"/>
  <c r="N4" i="19"/>
  <c r="J31" i="19"/>
  <c r="G33" i="19" l="1"/>
  <c r="G34" i="19" s="1"/>
  <c r="J13" i="19"/>
  <c r="G14" i="19"/>
  <c r="N13" i="19"/>
  <c r="O13" i="19" s="1"/>
  <c r="P13" i="19" s="1"/>
  <c r="Q13" i="19" s="1"/>
  <c r="N34" i="19"/>
  <c r="O34" i="19" s="1"/>
  <c r="P34" i="19" s="1"/>
  <c r="Q34" i="19" s="1"/>
  <c r="G35" i="19"/>
  <c r="J34" i="19"/>
  <c r="K34" i="19" s="1"/>
  <c r="L34" i="19" s="1"/>
  <c r="M34" i="19" s="1"/>
  <c r="N33" i="19"/>
  <c r="O33" i="19" s="1"/>
  <c r="P33" i="19" s="1"/>
  <c r="Q33" i="19" s="1"/>
  <c r="J32" i="19"/>
  <c r="T32" i="19" s="1"/>
  <c r="U32" i="19" s="1"/>
  <c r="J33" i="19"/>
  <c r="G6" i="19"/>
  <c r="J5" i="19"/>
  <c r="K32" i="19"/>
  <c r="L32" i="19" s="1"/>
  <c r="M32" i="19" s="1"/>
  <c r="L4" i="19"/>
  <c r="K31" i="19"/>
  <c r="L31" i="19" s="1"/>
  <c r="M31" i="19" s="1"/>
  <c r="T31" i="19"/>
  <c r="U31" i="19" s="1"/>
  <c r="T11" i="19"/>
  <c r="U11" i="19" s="1"/>
  <c r="K11" i="19"/>
  <c r="L11" i="19" s="1"/>
  <c r="M11" i="19" s="1"/>
  <c r="T33" i="19"/>
  <c r="U33" i="19" s="1"/>
  <c r="K33" i="19"/>
  <c r="L33" i="19" s="1"/>
  <c r="M33" i="19" s="1"/>
  <c r="O4" i="19"/>
  <c r="K12" i="19"/>
  <c r="L12" i="19" s="1"/>
  <c r="M12" i="19" s="1"/>
  <c r="T12" i="19"/>
  <c r="U12" i="19" s="1"/>
  <c r="G36" i="19" l="1"/>
  <c r="N35" i="19"/>
  <c r="O35" i="19" s="1"/>
  <c r="P35" i="19" s="1"/>
  <c r="Q35" i="19" s="1"/>
  <c r="J35" i="19"/>
  <c r="T34" i="19"/>
  <c r="U34" i="19" s="1"/>
  <c r="J14" i="19"/>
  <c r="G15" i="19"/>
  <c r="N14" i="19"/>
  <c r="O14" i="19" s="1"/>
  <c r="P14" i="19" s="1"/>
  <c r="Q14" i="19" s="1"/>
  <c r="K13" i="19"/>
  <c r="L13" i="19" s="1"/>
  <c r="M13" i="19" s="1"/>
  <c r="T13" i="19"/>
  <c r="U13" i="19" s="1"/>
  <c r="T5" i="19"/>
  <c r="U5" i="19" s="1"/>
  <c r="K5" i="19"/>
  <c r="L5" i="19" s="1"/>
  <c r="M5" i="19" s="1"/>
  <c r="G7" i="19"/>
  <c r="N6" i="19"/>
  <c r="J6" i="19"/>
  <c r="P4" i="19"/>
  <c r="M4" i="19"/>
  <c r="N36" i="19" l="1"/>
  <c r="O36" i="19" s="1"/>
  <c r="P36" i="19" s="1"/>
  <c r="Q36" i="19" s="1"/>
  <c r="J36" i="19"/>
  <c r="G16" i="19"/>
  <c r="J15" i="19"/>
  <c r="N15" i="19"/>
  <c r="O15" i="19" s="1"/>
  <c r="P15" i="19" s="1"/>
  <c r="Q15" i="19" s="1"/>
  <c r="T14" i="19"/>
  <c r="U14" i="19" s="1"/>
  <c r="K14" i="19"/>
  <c r="L14" i="19" s="1"/>
  <c r="M14" i="19" s="1"/>
  <c r="K35" i="19"/>
  <c r="L35" i="19" s="1"/>
  <c r="M35" i="19" s="1"/>
  <c r="T35" i="19"/>
  <c r="U35" i="19" s="1"/>
  <c r="K6" i="19"/>
  <c r="T6" i="19"/>
  <c r="U6" i="19" s="1"/>
  <c r="O6" i="19"/>
  <c r="G8" i="19"/>
  <c r="N7" i="19"/>
  <c r="O7" i="19" s="1"/>
  <c r="P7" i="19" s="1"/>
  <c r="Q7" i="19" s="1"/>
  <c r="J7" i="19"/>
  <c r="Q4" i="19"/>
  <c r="T15" i="19" l="1"/>
  <c r="U15" i="19" s="1"/>
  <c r="K15" i="19"/>
  <c r="L15" i="19" s="1"/>
  <c r="M15" i="19" s="1"/>
  <c r="G17" i="19"/>
  <c r="N16" i="19"/>
  <c r="O16" i="19" s="1"/>
  <c r="P16" i="19" s="1"/>
  <c r="Q16" i="19" s="1"/>
  <c r="J16" i="19"/>
  <c r="K36" i="19"/>
  <c r="L36" i="19" s="1"/>
  <c r="M36" i="19" s="1"/>
  <c r="T36" i="19"/>
  <c r="U36" i="19" s="1"/>
  <c r="L6" i="19"/>
  <c r="P6" i="19"/>
  <c r="K7" i="19"/>
  <c r="L7" i="19" s="1"/>
  <c r="M7" i="19" s="1"/>
  <c r="T7" i="19"/>
  <c r="J8" i="19"/>
  <c r="G9" i="19"/>
  <c r="N8" i="19"/>
  <c r="O8" i="19" s="1"/>
  <c r="P8" i="19" s="1"/>
  <c r="Q8" i="19" s="1"/>
  <c r="T16" i="19" l="1"/>
  <c r="U16" i="19" s="1"/>
  <c r="K16" i="19"/>
  <c r="L16" i="19" s="1"/>
  <c r="M16" i="19" s="1"/>
  <c r="G18" i="19"/>
  <c r="N17" i="19"/>
  <c r="O17" i="19" s="1"/>
  <c r="P17" i="19" s="1"/>
  <c r="Q17" i="19" s="1"/>
  <c r="J17" i="19"/>
  <c r="Q6" i="19"/>
  <c r="U7" i="19"/>
  <c r="G10" i="19"/>
  <c r="J9" i="19"/>
  <c r="N9" i="19"/>
  <c r="O9" i="19" s="1"/>
  <c r="K8" i="19"/>
  <c r="L8" i="19" s="1"/>
  <c r="M8" i="19" s="1"/>
  <c r="T8" i="19"/>
  <c r="U8" i="19" s="1"/>
  <c r="M6" i="19"/>
  <c r="G19" i="19" l="1"/>
  <c r="N18" i="19"/>
  <c r="O18" i="19" s="1"/>
  <c r="P18" i="19" s="1"/>
  <c r="Q18" i="19" s="1"/>
  <c r="J18" i="19"/>
  <c r="K17" i="19"/>
  <c r="L17" i="19" s="1"/>
  <c r="M17" i="19" s="1"/>
  <c r="T17" i="19"/>
  <c r="U17" i="19" s="1"/>
  <c r="T9" i="19"/>
  <c r="K9" i="19"/>
  <c r="L9" i="19" s="1"/>
  <c r="M9" i="19" s="1"/>
  <c r="P9" i="19"/>
  <c r="N10" i="19"/>
  <c r="O10" i="19" s="1"/>
  <c r="P10" i="19" s="1"/>
  <c r="Q10" i="19" s="1"/>
  <c r="J10" i="19"/>
  <c r="G20" i="19" l="1"/>
  <c r="J19" i="19"/>
  <c r="N19" i="19"/>
  <c r="O19" i="19" s="1"/>
  <c r="P19" i="19" s="1"/>
  <c r="Q19" i="19" s="1"/>
  <c r="T18" i="19"/>
  <c r="U18" i="19" s="1"/>
  <c r="K18" i="19"/>
  <c r="L18" i="19" s="1"/>
  <c r="M18" i="19" s="1"/>
  <c r="Q9" i="19"/>
  <c r="K10" i="19"/>
  <c r="T10" i="19"/>
  <c r="U10" i="19" s="1"/>
  <c r="U9" i="19"/>
  <c r="K19" i="19" l="1"/>
  <c r="L19" i="19" s="1"/>
  <c r="M19" i="19" s="1"/>
  <c r="T19" i="19"/>
  <c r="U19" i="19" s="1"/>
  <c r="G21" i="19"/>
  <c r="J20" i="19"/>
  <c r="N20" i="19"/>
  <c r="L10" i="19"/>
  <c r="G22" i="19" l="1"/>
  <c r="J21" i="19"/>
  <c r="N21" i="19"/>
  <c r="O21" i="19" s="1"/>
  <c r="P21" i="19" s="1"/>
  <c r="Q21" i="19" s="1"/>
  <c r="K20" i="19"/>
  <c r="T20" i="19"/>
  <c r="U20" i="19" s="1"/>
  <c r="O20" i="19"/>
  <c r="M10" i="19"/>
  <c r="P20" i="19" l="1"/>
  <c r="G23" i="19"/>
  <c r="N22" i="19"/>
  <c r="O22" i="19" s="1"/>
  <c r="P22" i="19" s="1"/>
  <c r="Q22" i="19" s="1"/>
  <c r="J22" i="19"/>
  <c r="L20" i="19"/>
  <c r="K21" i="19"/>
  <c r="L21" i="19" s="1"/>
  <c r="M21" i="19" s="1"/>
  <c r="T21" i="19"/>
  <c r="U21" i="19" s="1"/>
  <c r="M20" i="19" l="1"/>
  <c r="G24" i="19"/>
  <c r="J23" i="19"/>
  <c r="N23" i="19"/>
  <c r="O23" i="19" s="1"/>
  <c r="P23" i="19" s="1"/>
  <c r="Q23" i="19" s="1"/>
  <c r="K22" i="19"/>
  <c r="T22" i="19"/>
  <c r="Q20" i="19"/>
  <c r="T23" i="19" l="1"/>
  <c r="U23" i="19" s="1"/>
  <c r="K23" i="19"/>
  <c r="L23" i="19" s="1"/>
  <c r="M23" i="19" s="1"/>
  <c r="G25" i="19"/>
  <c r="N24" i="19"/>
  <c r="O24" i="19" s="1"/>
  <c r="P24" i="19" s="1"/>
  <c r="Q24" i="19" s="1"/>
  <c r="J24" i="19"/>
  <c r="L22" i="19"/>
  <c r="U22" i="19"/>
  <c r="G26" i="19" l="1"/>
  <c r="N25" i="19"/>
  <c r="O25" i="19" s="1"/>
  <c r="P25" i="19" s="1"/>
  <c r="Q25" i="19" s="1"/>
  <c r="J25" i="19"/>
  <c r="M22" i="19"/>
  <c r="T24" i="19"/>
  <c r="K24" i="19"/>
  <c r="L24" i="19" s="1"/>
  <c r="M24" i="19" s="1"/>
  <c r="T25" i="19" l="1"/>
  <c r="U25" i="19" s="1"/>
  <c r="K25" i="19"/>
  <c r="G27" i="19"/>
  <c r="J26" i="19"/>
  <c r="N26" i="19"/>
  <c r="O26" i="19" s="1"/>
  <c r="U24" i="19"/>
  <c r="P26" i="19" l="1"/>
  <c r="L25" i="19"/>
  <c r="K26" i="19"/>
  <c r="L26" i="19" s="1"/>
  <c r="M26" i="19" s="1"/>
  <c r="T26" i="19"/>
  <c r="G28" i="19"/>
  <c r="N27" i="19"/>
  <c r="O27" i="19" s="1"/>
  <c r="P27" i="19" s="1"/>
  <c r="Q27" i="19" s="1"/>
  <c r="J27" i="19"/>
  <c r="G29" i="19" l="1"/>
  <c r="N28" i="19"/>
  <c r="O28" i="19" s="1"/>
  <c r="P28" i="19" s="1"/>
  <c r="Q28" i="19" s="1"/>
  <c r="J28" i="19"/>
  <c r="U26" i="19"/>
  <c r="M25" i="19"/>
  <c r="K27" i="19"/>
  <c r="L27" i="19" s="1"/>
  <c r="M27" i="19" s="1"/>
  <c r="T27" i="19"/>
  <c r="U27" i="19" s="1"/>
  <c r="Q26" i="19"/>
  <c r="K28" i="19" l="1"/>
  <c r="L28" i="19" s="1"/>
  <c r="T28" i="19"/>
  <c r="U28" i="19" s="1"/>
  <c r="N29" i="19"/>
  <c r="O29" i="19" s="1"/>
  <c r="P29" i="19" s="1"/>
  <c r="Q29" i="19" s="1"/>
  <c r="G30" i="19"/>
  <c r="J29" i="19"/>
  <c r="K29" i="19" l="1"/>
  <c r="L29" i="19" s="1"/>
  <c r="M29" i="19" s="1"/>
  <c r="T29" i="19"/>
  <c r="U29" i="19" s="1"/>
  <c r="N30" i="19"/>
  <c r="J30" i="19"/>
  <c r="M28" i="19"/>
  <c r="O30" i="19" l="1"/>
  <c r="N37" i="19"/>
  <c r="K30" i="19"/>
  <c r="T30" i="19"/>
  <c r="J37" i="19"/>
  <c r="U30" i="19" l="1"/>
  <c r="U37" i="19" s="1"/>
  <c r="T37" i="19"/>
  <c r="L30" i="19"/>
  <c r="K37" i="19"/>
  <c r="B37" i="11" s="1"/>
  <c r="P30" i="19"/>
  <c r="O37" i="19"/>
  <c r="B38" i="11" s="1"/>
  <c r="Q30" i="19" l="1"/>
  <c r="Q37" i="19" s="1"/>
  <c r="B31" i="11" s="1"/>
  <c r="P37" i="19"/>
  <c r="M30" i="19"/>
  <c r="M37" i="19" s="1"/>
  <c r="B30" i="11" s="1"/>
  <c r="B34" i="11" s="1"/>
  <c r="L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<sst xmlns="http://schemas.openxmlformats.org/spreadsheetml/2006/main" count="263" uniqueCount="131">
  <si>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</si>
  <si>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</si>
  <si>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</si>
  <si>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</si>
  <si>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</si>
  <si>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</si>
  <si>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</si>
  <si>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</si>
  <si>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</si>
  <si>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</si>
  <si>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</si>
  <si>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</si>
  <si>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</si>
  <si>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</si>
  <si>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</si>
  <si>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</si>
  <si>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</si>
  <si>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</si>
  <si>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</si>
  <si>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</si>
  <si>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</si>
  <si>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</si>
  <si>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</si>
  <si>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</si>
  <si>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</si>
  <si>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</si>
  <si>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</si>
  <si>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</si>
  <si>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</si>
  <si>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</si>
  <si>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</si>
  <si>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</si>
  <si>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</si>
  <si>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</si>
  <si>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</si>
  <si>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</si>
  <si>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</si>
  <si>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</si>
  <si>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</si>
  <si>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</si>
  <si>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</si>
  <si>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</si>
  <si>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</si>
  <si>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</si>
  <si>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</si>
  <si>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</si>
  <si>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</si>
  <si>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517 Widening and Access Management</t>
  </si>
  <si>
    <t>Data entered by the sponsors</t>
  </si>
  <si>
    <t>Application ID Number:</t>
  </si>
  <si>
    <t>Data populated/calculated based on inputs</t>
  </si>
  <si>
    <t>Sponsor ID Number (CSJ, etc.):</t>
  </si>
  <si>
    <t>1002-02-016, 0978-01-039</t>
  </si>
  <si>
    <t xml:space="preserve">HGAC regional travel demand model data provided by HGAC </t>
  </si>
  <si>
    <t>Project County</t>
  </si>
  <si>
    <t>Galveston</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</si>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</sst>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v>
      </c>
      <c r="E3" s="7" t="s">
        <v>2</v>
      </c>
      <c r="G3" s="13" t="s">
        <v>3</v>
      </c>
      <c r="H3" s="13"/>
      <c r="I3" s="13" t="s">
        <v>4</v>
      </c>
      <c r="J3" s="13" t="s">
        <v>5</v>
      </c>
    </row>
    <row r="4" spans="1:10" x14ac:dyDescent="0.25">
      <c r="A4" s="4" t="s">
        <v>6</v>
      </c>
      <c r="B4" s="5"/>
      <c r="D4" s="4" t="s">
        <v>7</v>
      </c>
      <c r="E4" s="5">
        <v>2015</v>
      </c>
      <c r="G4" s="11">
        <f>E4</f>
        <v>2015</v>
      </c>
      <c r="H4" s="11">
        <f>IF(G4&lt;2041,1,0)</f>
        <v>1</v>
      </c>
      <c r="I4" s="20">
        <f>IF($G4&lt;($G$4+$E$5),$E$17,0)*H4</f>
        <v>0</v>
      </c>
      <c r="J4" s="28" t="e">
        <f>I4*$B$18*$B$19/10^3</f>
        <v>#REF!</v>
      </c>
    </row>
    <row r="5" spans="1:10" x14ac:dyDescent="0.25">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x14ac:dyDescent="0.25">
      <c r="A6" s="4" t="s">
        <v>10</v>
      </c>
      <c r="B6" s="5">
        <v>1</v>
      </c>
      <c r="D6" s="97" t="s">
        <v>11</v>
      </c>
      <c r="E6" s="98"/>
      <c r="G6" s="11">
        <f t="shared" si="0"/>
        <v>2017</v>
      </c>
      <c r="H6" s="11">
        <f t="shared" si="1"/>
        <v>1</v>
      </c>
      <c r="I6" s="20">
        <f t="shared" si="2"/>
        <v>0</v>
      </c>
      <c r="J6" s="28" t="e">
        <f t="shared" si="3"/>
        <v>#REF!</v>
      </c>
    </row>
    <row r="7" spans="1:10" x14ac:dyDescent="0.25">
      <c r="A7" s="4" t="s">
        <v>12</v>
      </c>
      <c r="B7" s="21"/>
      <c r="D7" s="4" t="s">
        <v>13</v>
      </c>
      <c r="E7" s="8"/>
      <c r="G7" s="12">
        <f t="shared" si="0"/>
        <v>2018</v>
      </c>
      <c r="H7" s="12">
        <f t="shared" si="1"/>
        <v>1</v>
      </c>
      <c r="I7" s="20">
        <f t="shared" si="2"/>
        <v>0</v>
      </c>
      <c r="J7" s="34" t="e">
        <f t="shared" si="3"/>
        <v>#REF!</v>
      </c>
    </row>
    <row r="8" spans="1:10" x14ac:dyDescent="0.25">
      <c r="A8" s="4" t="s">
        <v>14</v>
      </c>
      <c r="B8" s="21"/>
      <c r="D8" s="4" t="s">
        <v>15</v>
      </c>
      <c r="E8" s="37">
        <v>1.1499999999999999</v>
      </c>
      <c r="G8" s="11">
        <f t="shared" si="0"/>
        <v>2019</v>
      </c>
      <c r="H8" s="11">
        <f t="shared" si="1"/>
        <v>1</v>
      </c>
      <c r="I8" s="20">
        <f t="shared" si="2"/>
        <v>0</v>
      </c>
      <c r="J8" s="28" t="e">
        <f t="shared" si="3"/>
        <v>#REF!</v>
      </c>
    </row>
    <row r="9" spans="1:10" x14ac:dyDescent="0.25">
      <c r="G9" s="12">
        <f t="shared" si="0"/>
        <v>2020</v>
      </c>
      <c r="H9" s="12">
        <f t="shared" si="1"/>
        <v>1</v>
      </c>
      <c r="I9" s="20">
        <f t="shared" si="2"/>
        <v>0</v>
      </c>
      <c r="J9" s="34" t="e">
        <f t="shared" si="3"/>
        <v>#REF!</v>
      </c>
    </row>
    <row r="10" spans="1:10" x14ac:dyDescent="0.25">
      <c r="A10" s="10" t="s">
        <v>16</v>
      </c>
      <c r="G10" s="11">
        <f t="shared" si="0"/>
        <v>2021</v>
      </c>
      <c r="H10" s="11">
        <f t="shared" si="1"/>
        <v>1</v>
      </c>
      <c r="I10" s="20">
        <f t="shared" si="2"/>
        <v>0</v>
      </c>
      <c r="J10" s="28" t="e">
        <f t="shared" si="3"/>
        <v>#REF!</v>
      </c>
    </row>
    <row r="11" spans="1:10" x14ac:dyDescent="0.25">
      <c r="A11" s="9" t="s">
        <v>17</v>
      </c>
      <c r="B11" s="35" t="e">
        <f>NPV($B$17,J4:J29)/(1+$B$17)^(E4-B16+1)</f>
        <v>#REF!</v>
      </c>
      <c r="G11" s="12">
        <f t="shared" si="0"/>
        <v>2022</v>
      </c>
      <c r="H11" s="12">
        <f t="shared" si="1"/>
        <v>1</v>
      </c>
      <c r="I11" s="20">
        <f t="shared" si="2"/>
        <v>0</v>
      </c>
      <c r="J11" s="34" t="e">
        <f t="shared" si="3"/>
        <v>#REF!</v>
      </c>
    </row>
    <row r="12" spans="1:10" x14ac:dyDescent="0.25">
      <c r="A12" s="9" t="s">
        <v>18</v>
      </c>
      <c r="B12" s="33" t="e">
        <f>B11/B7</f>
        <v>#REF!</v>
      </c>
      <c r="G12" s="11">
        <f t="shared" si="0"/>
        <v>2023</v>
      </c>
      <c r="H12" s="11">
        <f t="shared" si="1"/>
        <v>1</v>
      </c>
      <c r="I12" s="20">
        <f t="shared" si="2"/>
        <v>0</v>
      </c>
      <c r="J12" s="28" t="e">
        <f t="shared" si="3"/>
        <v>#REF!</v>
      </c>
    </row>
    <row r="13" spans="1:10" x14ac:dyDescent="0.25">
      <c r="G13" s="12">
        <f t="shared" si="0"/>
        <v>2024</v>
      </c>
      <c r="H13" s="12">
        <f t="shared" si="1"/>
        <v>1</v>
      </c>
      <c r="I13" s="20">
        <f t="shared" si="2"/>
        <v>0</v>
      </c>
      <c r="J13" s="34" t="e">
        <f t="shared" si="3"/>
        <v>#REF!</v>
      </c>
    </row>
    <row r="14" spans="1:10" x14ac:dyDescent="0.25">
      <c r="G14" s="11">
        <f>G13+1</f>
        <v>2025</v>
      </c>
      <c r="H14" s="11">
        <f t="shared" si="1"/>
        <v>1</v>
      </c>
      <c r="I14" s="20">
        <f t="shared" si="2"/>
        <v>0</v>
      </c>
      <c r="J14" s="28" t="e">
        <f t="shared" si="3"/>
        <v>#REF!</v>
      </c>
    </row>
    <row r="15" spans="1:10" x14ac:dyDescent="0.25">
      <c r="A15" s="14" t="s">
        <v>19</v>
      </c>
      <c r="G15" s="12">
        <f t="shared" si="0"/>
        <v>2026</v>
      </c>
      <c r="H15" s="12">
        <f t="shared" si="1"/>
        <v>1</v>
      </c>
      <c r="I15" s="20">
        <f t="shared" si="2"/>
        <v>0</v>
      </c>
      <c r="J15" s="34" t="e">
        <f t="shared" si="3"/>
        <v>#REF!</v>
      </c>
    </row>
    <row r="16" spans="1:10" x14ac:dyDescent="0.25">
      <c r="A16" s="15" t="s">
        <v>20</v>
      </c>
      <c r="B16" s="15" t="e">
        <f>'Assumed Values'!#REF!</f>
        <v>#REF!</v>
      </c>
      <c r="D16" s="14" t="s">
        <v>21</v>
      </c>
      <c r="E16" s="22" t="s">
        <v>2</v>
      </c>
      <c r="G16" s="11">
        <f t="shared" si="0"/>
        <v>2027</v>
      </c>
      <c r="H16" s="11">
        <f t="shared" si="1"/>
        <v>1</v>
      </c>
      <c r="I16" s="20">
        <f t="shared" si="2"/>
        <v>0</v>
      </c>
      <c r="J16" s="28" t="e">
        <f t="shared" si="3"/>
        <v>#REF!</v>
      </c>
    </row>
    <row r="17" spans="1:10" x14ac:dyDescent="0.25">
      <c r="A17" s="15" t="s">
        <v>22</v>
      </c>
      <c r="B17" s="16" t="e">
        <f>'Assumed Values'!#REF!</f>
        <v>#REF!</v>
      </c>
      <c r="D17" s="18" t="s">
        <v>23</v>
      </c>
      <c r="E17" s="19">
        <f>E7/E8</f>
        <v>0</v>
      </c>
      <c r="G17" s="12">
        <f t="shared" si="0"/>
        <v>2028</v>
      </c>
      <c r="H17" s="12">
        <f t="shared" si="1"/>
        <v>1</v>
      </c>
      <c r="I17" s="20">
        <f t="shared" si="2"/>
        <v>0</v>
      </c>
      <c r="J17" s="34" t="e">
        <f t="shared" si="3"/>
        <v>#REF!</v>
      </c>
    </row>
    <row r="18" spans="1:10" x14ac:dyDescent="0.25">
      <c r="A18" s="15" t="s">
        <v>24</v>
      </c>
      <c r="B18" s="15">
        <f>IF(B6=2,2.1, 1.1)</f>
        <v>1.1000000000000001</v>
      </c>
      <c r="G18" s="11">
        <f t="shared" si="0"/>
        <v>2029</v>
      </c>
      <c r="H18" s="11">
        <f t="shared" si="1"/>
        <v>1</v>
      </c>
      <c r="I18" s="20">
        <f t="shared" si="2"/>
        <v>0</v>
      </c>
      <c r="J18" s="28" t="e">
        <f t="shared" si="3"/>
        <v>#REF!</v>
      </c>
    </row>
    <row r="19" spans="1:10" x14ac:dyDescent="0.25">
      <c r="A19" s="15" t="s">
        <v>25</v>
      </c>
      <c r="B19" s="17" t="e">
        <f>'Assumed Values'!#REF!</f>
        <v>#REF!</v>
      </c>
      <c r="G19" s="12">
        <f t="shared" si="0"/>
        <v>2030</v>
      </c>
      <c r="H19" s="12">
        <f t="shared" si="1"/>
        <v>1</v>
      </c>
      <c r="I19" s="20">
        <f t="shared" si="2"/>
        <v>0</v>
      </c>
      <c r="J19" s="34" t="e">
        <f t="shared" si="3"/>
        <v>#REF!</v>
      </c>
    </row>
    <row r="20" spans="1:10" x14ac:dyDescent="0.25">
      <c r="A20" s="15" t="s">
        <v>26</v>
      </c>
      <c r="B20" s="15">
        <v>260</v>
      </c>
      <c r="G20" s="11">
        <f t="shared" si="0"/>
        <v>2031</v>
      </c>
      <c r="H20" s="11">
        <f t="shared" si="1"/>
        <v>1</v>
      </c>
      <c r="I20" s="20">
        <f t="shared" si="2"/>
        <v>0</v>
      </c>
      <c r="J20" s="28" t="e">
        <f t="shared" si="3"/>
        <v>#REF!</v>
      </c>
    </row>
    <row r="21" spans="1:10" x14ac:dyDescent="0.25">
      <c r="G21" s="12">
        <f t="shared" si="0"/>
        <v>2032</v>
      </c>
      <c r="H21" s="12">
        <f t="shared" si="1"/>
        <v>1</v>
      </c>
      <c r="I21" s="20">
        <f t="shared" si="2"/>
        <v>0</v>
      </c>
      <c r="J21" s="34" t="e">
        <f t="shared" si="3"/>
        <v>#REF!</v>
      </c>
    </row>
    <row r="22" spans="1:10" x14ac:dyDescent="0.25">
      <c r="G22" s="11">
        <f t="shared" si="0"/>
        <v>2033</v>
      </c>
      <c r="H22" s="11">
        <f t="shared" si="1"/>
        <v>1</v>
      </c>
      <c r="I22" s="20">
        <f t="shared" si="2"/>
        <v>0</v>
      </c>
      <c r="J22" s="28" t="e">
        <f t="shared" si="3"/>
        <v>#REF!</v>
      </c>
    </row>
    <row r="23" spans="1:10" x14ac:dyDescent="0.25">
      <c r="G23" s="12">
        <f t="shared" si="0"/>
        <v>2034</v>
      </c>
      <c r="H23" s="12">
        <f t="shared" si="1"/>
        <v>1</v>
      </c>
      <c r="I23" s="20">
        <f t="shared" si="2"/>
        <v>0</v>
      </c>
      <c r="J23" s="34" t="e">
        <f t="shared" si="3"/>
        <v>#REF!</v>
      </c>
    </row>
    <row r="24" spans="1:10" x14ac:dyDescent="0.25">
      <c r="G24" s="11">
        <f t="shared" si="0"/>
        <v>2035</v>
      </c>
      <c r="H24" s="11">
        <f t="shared" si="1"/>
        <v>1</v>
      </c>
      <c r="I24" s="20">
        <f t="shared" si="2"/>
        <v>0</v>
      </c>
      <c r="J24" s="28" t="e">
        <f t="shared" si="3"/>
        <v>#REF!</v>
      </c>
    </row>
    <row r="25" spans="1:10" x14ac:dyDescent="0.25">
      <c r="G25" s="12">
        <f t="shared" si="0"/>
        <v>2036</v>
      </c>
      <c r="H25" s="12">
        <f t="shared" si="1"/>
        <v>1</v>
      </c>
      <c r="I25" s="20">
        <f t="shared" si="2"/>
        <v>0</v>
      </c>
      <c r="J25" s="34" t="e">
        <f t="shared" ref="J25:J29" si="4">I25*$B$18*$B$19/10^3</f>
        <v>#REF!</v>
      </c>
    </row>
    <row r="26" spans="1:10" x14ac:dyDescent="0.25">
      <c r="G26" s="11">
        <f t="shared" si="0"/>
        <v>2037</v>
      </c>
      <c r="H26" s="11">
        <f t="shared" si="1"/>
        <v>1</v>
      </c>
      <c r="I26" s="20">
        <f t="shared" si="2"/>
        <v>0</v>
      </c>
      <c r="J26" s="28" t="e">
        <f t="shared" si="4"/>
        <v>#REF!</v>
      </c>
    </row>
    <row r="27" spans="1:10" x14ac:dyDescent="0.25">
      <c r="G27" s="12">
        <f t="shared" si="0"/>
        <v>2038</v>
      </c>
      <c r="H27" s="12">
        <f t="shared" si="1"/>
        <v>1</v>
      </c>
      <c r="I27" s="20">
        <f t="shared" si="2"/>
        <v>0</v>
      </c>
      <c r="J27" s="34" t="e">
        <f t="shared" si="4"/>
        <v>#REF!</v>
      </c>
    </row>
    <row r="28" spans="1:10" x14ac:dyDescent="0.25">
      <c r="G28" s="11">
        <f t="shared" si="0"/>
        <v>2039</v>
      </c>
      <c r="H28" s="11">
        <f t="shared" si="1"/>
        <v>1</v>
      </c>
      <c r="I28" s="20">
        <f t="shared" si="2"/>
        <v>0</v>
      </c>
      <c r="J28" s="28" t="e">
        <f t="shared" si="4"/>
        <v>#REF!</v>
      </c>
    </row>
    <row r="29" spans="1:10" x14ac:dyDescent="0.25">
      <c r="A29" s="23"/>
      <c r="G29" s="12">
        <f t="shared" si="0"/>
        <v>2040</v>
      </c>
      <c r="H29" s="12">
        <f t="shared" si="1"/>
        <v>1</v>
      </c>
      <c r="I29" s="20">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30</v>
      </c>
      <c r="E3" s="7" t="s">
        <v>2</v>
      </c>
      <c r="G3" s="13" t="s">
        <v>3</v>
      </c>
      <c r="H3" s="13" t="s">
        <v>31</v>
      </c>
      <c r="I3" s="13" t="s">
        <v>32</v>
      </c>
      <c r="J3" s="13" t="s">
        <v>33</v>
      </c>
      <c r="K3" s="13" t="s">
        <v>34</v>
      </c>
    </row>
    <row r="4" spans="1:11" x14ac:dyDescent="0.25">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x14ac:dyDescent="0.25">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x14ac:dyDescent="0.25">
      <c r="A6" s="4" t="s">
        <v>35</v>
      </c>
      <c r="B6" s="5">
        <v>2</v>
      </c>
      <c r="D6" s="97" t="s">
        <v>11</v>
      </c>
      <c r="E6" s="98"/>
      <c r="G6" s="11">
        <f t="shared" si="2"/>
        <v>2017</v>
      </c>
      <c r="H6" s="30" t="e">
        <f t="shared" si="0"/>
        <v>#REF!</v>
      </c>
      <c r="I6" s="28" t="e">
        <f t="shared" si="3"/>
        <v>#REF!</v>
      </c>
      <c r="J6" s="30" t="e">
        <f t="shared" si="1"/>
        <v>#REF!</v>
      </c>
      <c r="K6" s="28" t="e">
        <f t="shared" si="4"/>
        <v>#REF!</v>
      </c>
    </row>
    <row r="7" spans="1:11" x14ac:dyDescent="0.25">
      <c r="A7" s="4" t="s">
        <v>12</v>
      </c>
      <c r="B7" s="21"/>
      <c r="D7" s="4" t="s">
        <v>36</v>
      </c>
      <c r="E7" s="8"/>
      <c r="G7" s="12">
        <f t="shared" si="2"/>
        <v>2018</v>
      </c>
      <c r="H7" s="30" t="e">
        <f t="shared" si="0"/>
        <v>#REF!</v>
      </c>
      <c r="I7" s="31" t="e">
        <f t="shared" si="3"/>
        <v>#REF!</v>
      </c>
      <c r="J7" s="30" t="e">
        <f t="shared" si="1"/>
        <v>#REF!</v>
      </c>
      <c r="K7" s="31" t="e">
        <f t="shared" si="4"/>
        <v>#REF!</v>
      </c>
    </row>
    <row r="8" spans="1:11" x14ac:dyDescent="0.25">
      <c r="A8" s="4" t="s">
        <v>14</v>
      </c>
      <c r="B8" s="21"/>
      <c r="D8" s="97" t="s">
        <v>37</v>
      </c>
      <c r="E8" s="98"/>
      <c r="G8" s="11">
        <f t="shared" si="2"/>
        <v>2019</v>
      </c>
      <c r="H8" s="30" t="e">
        <f t="shared" si="0"/>
        <v>#REF!</v>
      </c>
      <c r="I8" s="28" t="e">
        <f t="shared" si="3"/>
        <v>#REF!</v>
      </c>
      <c r="J8" s="30" t="e">
        <f t="shared" si="1"/>
        <v>#REF!</v>
      </c>
      <c r="K8" s="28" t="e">
        <f t="shared" si="4"/>
        <v>#REF!</v>
      </c>
    </row>
    <row r="9" spans="1:11" x14ac:dyDescent="0.25">
      <c r="D9" s="4" t="s">
        <v>38</v>
      </c>
      <c r="E9" s="8"/>
      <c r="G9" s="12">
        <f t="shared" si="2"/>
        <v>2020</v>
      </c>
      <c r="H9" s="30" t="e">
        <f t="shared" si="0"/>
        <v>#REF!</v>
      </c>
      <c r="I9" s="31" t="e">
        <f t="shared" si="3"/>
        <v>#REF!</v>
      </c>
      <c r="J9" s="30" t="e">
        <f t="shared" si="1"/>
        <v>#REF!</v>
      </c>
      <c r="K9" s="31" t="e">
        <f t="shared" si="4"/>
        <v>#REF!</v>
      </c>
    </row>
    <row r="10" spans="1:11" x14ac:dyDescent="0.25">
      <c r="A10" s="10" t="s">
        <v>16</v>
      </c>
      <c r="D10" s="4" t="s">
        <v>39</v>
      </c>
      <c r="E10" s="8"/>
      <c r="G10" s="11">
        <f t="shared" si="2"/>
        <v>2021</v>
      </c>
      <c r="H10" s="30" t="e">
        <f t="shared" si="0"/>
        <v>#REF!</v>
      </c>
      <c r="I10" s="28" t="e">
        <f t="shared" si="3"/>
        <v>#REF!</v>
      </c>
      <c r="J10" s="30" t="e">
        <f t="shared" si="1"/>
        <v>#REF!</v>
      </c>
      <c r="K10" s="28" t="e">
        <f t="shared" si="4"/>
        <v>#REF!</v>
      </c>
    </row>
    <row r="11" spans="1:11" x14ac:dyDescent="0.25">
      <c r="A11" s="9" t="s">
        <v>40</v>
      </c>
      <c r="B11" s="32" t="e">
        <f>(NPV($B$17,K4:K24)+NPV($B$17,I4:I24))/(1+$B$17)^2</f>
        <v>#REF!</v>
      </c>
      <c r="G11" s="12">
        <f t="shared" si="2"/>
        <v>2022</v>
      </c>
      <c r="H11" s="30" t="e">
        <f t="shared" si="0"/>
        <v>#REF!</v>
      </c>
      <c r="I11" s="31" t="e">
        <f t="shared" si="3"/>
        <v>#REF!</v>
      </c>
      <c r="J11" s="30" t="e">
        <f t="shared" si="1"/>
        <v>#REF!</v>
      </c>
      <c r="K11" s="31" t="e">
        <f t="shared" si="4"/>
        <v>#REF!</v>
      </c>
    </row>
    <row r="12" spans="1:11" x14ac:dyDescent="0.25">
      <c r="A12" s="9" t="s">
        <v>18</v>
      </c>
      <c r="B12" s="33" t="e">
        <f>B11/B7</f>
        <v>#REF!</v>
      </c>
      <c r="G12" s="11">
        <f t="shared" si="2"/>
        <v>2023</v>
      </c>
      <c r="H12" s="30" t="e">
        <f t="shared" si="0"/>
        <v>#REF!</v>
      </c>
      <c r="I12" s="28" t="e">
        <f t="shared" si="3"/>
        <v>#REF!</v>
      </c>
      <c r="J12" s="30" t="e">
        <f t="shared" si="1"/>
        <v>#REF!</v>
      </c>
      <c r="K12" s="28" t="e">
        <f t="shared" si="4"/>
        <v>#REF!</v>
      </c>
    </row>
    <row r="13" spans="1:11" x14ac:dyDescent="0.25">
      <c r="A13" s="9" t="s">
        <v>41</v>
      </c>
      <c r="B13" s="32" t="e">
        <f>B7*(B17/(1-(1+B17)^(-E5))/(SUM(H4:H29)+SUM(J4:J29)))</f>
        <v>#REF!</v>
      </c>
      <c r="G13" s="12">
        <f t="shared" si="2"/>
        <v>2024</v>
      </c>
      <c r="H13" s="30" t="e">
        <f t="shared" si="0"/>
        <v>#REF!</v>
      </c>
      <c r="I13" s="31" t="e">
        <f t="shared" si="3"/>
        <v>#REF!</v>
      </c>
      <c r="J13" s="30" t="e">
        <f t="shared" si="1"/>
        <v>#REF!</v>
      </c>
      <c r="K13" s="31" t="e">
        <f t="shared" si="4"/>
        <v>#REF!</v>
      </c>
    </row>
    <row r="14" spans="1:11" x14ac:dyDescent="0.25">
      <c r="G14" s="11">
        <f>G13+1</f>
        <v>2025</v>
      </c>
      <c r="H14" s="30">
        <f t="shared" si="0"/>
        <v>0</v>
      </c>
      <c r="I14" s="28" t="e">
        <f t="shared" si="3"/>
        <v>#REF!</v>
      </c>
      <c r="J14" s="30">
        <f t="shared" si="1"/>
        <v>0</v>
      </c>
      <c r="K14" s="28" t="e">
        <f t="shared" si="4"/>
        <v>#REF!</v>
      </c>
    </row>
    <row r="15" spans="1:11" x14ac:dyDescent="0.25">
      <c r="A15" s="14" t="s">
        <v>19</v>
      </c>
      <c r="G15" s="12">
        <f t="shared" si="2"/>
        <v>2026</v>
      </c>
      <c r="H15" s="30">
        <f t="shared" si="0"/>
        <v>0</v>
      </c>
      <c r="I15" s="31" t="e">
        <f t="shared" si="3"/>
        <v>#REF!</v>
      </c>
      <c r="J15" s="30">
        <f t="shared" si="1"/>
        <v>0</v>
      </c>
      <c r="K15" s="31" t="e">
        <f t="shared" si="4"/>
        <v>#REF!</v>
      </c>
    </row>
    <row r="16" spans="1:11" x14ac:dyDescent="0.25">
      <c r="A16" s="15" t="s">
        <v>20</v>
      </c>
      <c r="B16" s="15">
        <v>2015</v>
      </c>
      <c r="D16" s="14" t="s">
        <v>21</v>
      </c>
      <c r="E16" s="22" t="s">
        <v>2</v>
      </c>
      <c r="G16" s="11">
        <f t="shared" si="2"/>
        <v>2027</v>
      </c>
      <c r="H16" s="30">
        <f t="shared" si="0"/>
        <v>0</v>
      </c>
      <c r="I16" s="28" t="e">
        <f t="shared" si="3"/>
        <v>#REF!</v>
      </c>
      <c r="J16" s="30">
        <f t="shared" si="1"/>
        <v>0</v>
      </c>
      <c r="K16" s="28" t="e">
        <f t="shared" si="4"/>
        <v>#REF!</v>
      </c>
    </row>
    <row r="17" spans="1:11" x14ac:dyDescent="0.25">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x14ac:dyDescent="0.25">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x14ac:dyDescent="0.25">
      <c r="A19" s="15" t="s">
        <v>43</v>
      </c>
      <c r="B19" s="36" t="e">
        <f>IF($B$6=2,'Assumed Values'!#REF!,0)</f>
        <v>#REF!</v>
      </c>
      <c r="G19" s="12">
        <f t="shared" si="2"/>
        <v>2030</v>
      </c>
      <c r="H19" s="30">
        <f t="shared" si="0"/>
        <v>0</v>
      </c>
      <c r="I19" s="31" t="e">
        <f t="shared" si="3"/>
        <v>#REF!</v>
      </c>
      <c r="J19" s="30">
        <f t="shared" si="1"/>
        <v>0</v>
      </c>
      <c r="K19" s="31" t="e">
        <f t="shared" si="4"/>
        <v>#REF!</v>
      </c>
    </row>
    <row r="20" spans="1:11" x14ac:dyDescent="0.25">
      <c r="A20" s="15" t="s">
        <v>44</v>
      </c>
      <c r="B20" s="29" t="e">
        <f>'Assumed Values'!#REF!</f>
        <v>#REF!</v>
      </c>
      <c r="G20" s="11">
        <f t="shared" si="2"/>
        <v>2031</v>
      </c>
      <c r="H20" s="30">
        <f t="shared" si="0"/>
        <v>0</v>
      </c>
      <c r="I20" s="28" t="e">
        <f t="shared" si="3"/>
        <v>#REF!</v>
      </c>
      <c r="J20" s="30">
        <f t="shared" si="1"/>
        <v>0</v>
      </c>
      <c r="K20" s="28" t="e">
        <f t="shared" si="4"/>
        <v>#REF!</v>
      </c>
    </row>
    <row r="21" spans="1:11" x14ac:dyDescent="0.25">
      <c r="A21" s="15" t="s">
        <v>45</v>
      </c>
      <c r="B21" s="29" t="e">
        <f>'Assumed Values'!#REF!</f>
        <v>#REF!</v>
      </c>
      <c r="G21" s="12">
        <f t="shared" si="2"/>
        <v>2032</v>
      </c>
      <c r="H21" s="30">
        <f t="shared" si="0"/>
        <v>0</v>
      </c>
      <c r="I21" s="31" t="e">
        <f t="shared" si="3"/>
        <v>#REF!</v>
      </c>
      <c r="J21" s="30">
        <f t="shared" si="1"/>
        <v>0</v>
      </c>
      <c r="K21" s="31" t="e">
        <f t="shared" si="4"/>
        <v>#REF!</v>
      </c>
    </row>
    <row r="22" spans="1:11" x14ac:dyDescent="0.25">
      <c r="A22" s="15" t="s">
        <v>26</v>
      </c>
      <c r="B22" s="15">
        <v>260</v>
      </c>
      <c r="G22" s="11">
        <f t="shared" si="2"/>
        <v>2033</v>
      </c>
      <c r="H22" s="30">
        <f t="shared" si="0"/>
        <v>0</v>
      </c>
      <c r="I22" s="28" t="e">
        <f t="shared" si="3"/>
        <v>#REF!</v>
      </c>
      <c r="J22" s="30">
        <f t="shared" si="1"/>
        <v>0</v>
      </c>
      <c r="K22" s="28" t="e">
        <f t="shared" si="4"/>
        <v>#REF!</v>
      </c>
    </row>
    <row r="23" spans="1:11" x14ac:dyDescent="0.25">
      <c r="G23" s="12">
        <f t="shared" si="2"/>
        <v>2034</v>
      </c>
      <c r="H23" s="30">
        <f t="shared" si="0"/>
        <v>0</v>
      </c>
      <c r="I23" s="31" t="e">
        <f t="shared" si="3"/>
        <v>#REF!</v>
      </c>
      <c r="J23" s="30">
        <f t="shared" si="1"/>
        <v>0</v>
      </c>
      <c r="K23" s="31" t="e">
        <f t="shared" si="4"/>
        <v>#REF!</v>
      </c>
    </row>
    <row r="24" spans="1:11" x14ac:dyDescent="0.25">
      <c r="G24" s="11">
        <f t="shared" si="2"/>
        <v>2035</v>
      </c>
      <c r="H24" s="30">
        <f t="shared" si="0"/>
        <v>0</v>
      </c>
      <c r="I24" s="28" t="e">
        <f t="shared" si="3"/>
        <v>#REF!</v>
      </c>
      <c r="J24" s="30">
        <f t="shared" si="1"/>
        <v>0</v>
      </c>
      <c r="K24" s="28" t="e">
        <f t="shared" si="4"/>
        <v>#REF!</v>
      </c>
    </row>
    <row r="25" spans="1:11" x14ac:dyDescent="0.25">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1">
        <f t="shared" si="2"/>
        <v>2037</v>
      </c>
      <c r="H26" s="30">
        <f t="shared" si="5"/>
        <v>0</v>
      </c>
      <c r="I26" s="28" t="e">
        <f t="shared" si="6"/>
        <v>#REF!</v>
      </c>
      <c r="J26" s="30">
        <f t="shared" si="7"/>
        <v>0</v>
      </c>
      <c r="K26" s="28" t="e">
        <f t="shared" si="8"/>
        <v>#REF!</v>
      </c>
    </row>
    <row r="27" spans="1:11" x14ac:dyDescent="0.25">
      <c r="G27" s="12">
        <f t="shared" si="2"/>
        <v>2038</v>
      </c>
      <c r="H27" s="30">
        <f t="shared" si="5"/>
        <v>0</v>
      </c>
      <c r="I27" s="31" t="e">
        <f t="shared" si="6"/>
        <v>#REF!</v>
      </c>
      <c r="J27" s="30">
        <f t="shared" si="7"/>
        <v>0</v>
      </c>
      <c r="K27" s="31" t="e">
        <f t="shared" si="8"/>
        <v>#REF!</v>
      </c>
    </row>
    <row r="28" spans="1:11" x14ac:dyDescent="0.25">
      <c r="G28" s="11">
        <f t="shared" si="2"/>
        <v>2039</v>
      </c>
      <c r="H28" s="30">
        <f t="shared" si="5"/>
        <v>0</v>
      </c>
      <c r="I28" s="28" t="e">
        <f t="shared" si="6"/>
        <v>#REF!</v>
      </c>
      <c r="J28" s="30">
        <f t="shared" si="7"/>
        <v>0</v>
      </c>
      <c r="K28" s="28" t="e">
        <f t="shared" si="8"/>
        <v>#REF!</v>
      </c>
    </row>
    <row r="29" spans="1:11" x14ac:dyDescent="0.25">
      <c r="G29" s="12">
        <f t="shared" si="2"/>
        <v>2040</v>
      </c>
      <c r="H29" s="30">
        <f>IF($G29&lt;($G$4+$E$5),$E$17,0)</f>
        <v>0</v>
      </c>
      <c r="I29" s="31" t="e">
        <f t="shared" si="6"/>
        <v>#REF!</v>
      </c>
      <c r="J29" s="30">
        <f>IF($G29&lt;($G$4+$E$5),$E$18,0)</f>
        <v>0</v>
      </c>
      <c r="K29" s="31" t="e">
        <f t="shared" si="8"/>
        <v>#REF!</v>
      </c>
    </row>
    <row r="31" spans="1:11" x14ac:dyDescent="0.25">
      <c r="A31" s="23"/>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9" zoomScaleNormal="100" workbookViewId="0">
      <selection activeCell="F23" sqref="F23"/>
    </sheetView>
  </sheetViews>
  <sheetFormatPr defaultRowHeight="15" x14ac:dyDescent="0.25"/>
  <cols>
    <col min="1" max="1" width="57" style="49" customWidth="1"/>
    <col min="2" max="2" width="16" style="49" customWidth="1"/>
    <col min="3" max="3" width="5.28515625" style="49" customWidth="1"/>
    <col min="4" max="4" width="5.7109375" style="49" customWidth="1"/>
    <col min="5" max="16384" width="9.140625" style="49"/>
  </cols>
  <sheetData>
    <row r="3" spans="1:5" ht="18.75" x14ac:dyDescent="0.3">
      <c r="A3" s="79" t="s">
        <v>46</v>
      </c>
      <c r="B3" s="80"/>
      <c r="C3" s="80"/>
    </row>
    <row r="5" spans="1:5" ht="30" customHeight="1" x14ac:dyDescent="0.25">
      <c r="A5" s="81" t="s">
        <v>0</v>
      </c>
    </row>
    <row r="6" spans="1:5" x14ac:dyDescent="0.25">
      <c r="A6" s="5" t="s">
        <v>6</v>
      </c>
      <c r="B6" s="5" t="s">
        <v>47</v>
      </c>
      <c r="D6" s="5"/>
      <c r="E6" s="49" t="s">
        <v>48</v>
      </c>
    </row>
    <row r="7" spans="1:5" x14ac:dyDescent="0.25">
      <c r="A7" s="5" t="s">
        <v>49</v>
      </c>
      <c r="B7" s="5"/>
      <c r="D7" s="78"/>
      <c r="E7" s="49" t="s">
        <v>50</v>
      </c>
    </row>
    <row r="8" spans="1:5" x14ac:dyDescent="0.25">
      <c r="A8" s="5" t="s">
        <v>51</v>
      </c>
      <c r="B8" s="5" t="s">
        <v>52</v>
      </c>
      <c r="D8" s="82"/>
      <c r="E8" s="49" t="s">
        <v>53</v>
      </c>
    </row>
    <row r="9" spans="1:5" x14ac:dyDescent="0.25">
      <c r="A9" s="5" t="s">
        <v>54</v>
      </c>
      <c r="B9" s="83" t="s">
        <v>55</v>
      </c>
      <c r="D9" s="84"/>
      <c r="E9" s="49" t="s">
        <v>56</v>
      </c>
    </row>
    <row r="12" spans="1:5" x14ac:dyDescent="0.25">
      <c r="A12" s="81" t="s">
        <v>57</v>
      </c>
    </row>
    <row r="13" spans="1:5" x14ac:dyDescent="0.25">
      <c r="A13" s="5" t="s">
        <v>58</v>
      </c>
      <c r="B13" s="5">
        <v>2025</v>
      </c>
    </row>
    <row r="14" spans="1:5" x14ac:dyDescent="0.25">
      <c r="A14" s="5" t="s">
        <v>59</v>
      </c>
      <c r="B14" s="5" t="s">
        <v>60</v>
      </c>
    </row>
    <row r="15" spans="1:5" x14ac:dyDescent="0.25">
      <c r="A15" s="85" t="s">
        <v>61</v>
      </c>
      <c r="B15" s="8" t="s">
        <v>62</v>
      </c>
    </row>
    <row r="16" spans="1:5" x14ac:dyDescent="0.25">
      <c r="A16" s="85" t="s">
        <v>63</v>
      </c>
      <c r="B16" s="8">
        <v>9.2799999999999994</v>
      </c>
    </row>
    <row r="17" spans="1:2" x14ac:dyDescent="0.25">
      <c r="A17" s="86" t="s">
        <v>64</v>
      </c>
      <c r="B17" s="8">
        <v>29</v>
      </c>
    </row>
    <row r="18" spans="1:2" x14ac:dyDescent="0.25">
      <c r="A18" s="86" t="s">
        <v>65</v>
      </c>
      <c r="B18" s="8">
        <v>37</v>
      </c>
    </row>
    <row r="19" spans="1:2" x14ac:dyDescent="0.25">
      <c r="A19" s="76" t="s">
        <v>66</v>
      </c>
      <c r="B19" s="77">
        <f>VLOOKUP(B14,'Service Life'!C6:D8,2,FALSE)</f>
        <v>20</v>
      </c>
    </row>
    <row r="21" spans="1:2" x14ac:dyDescent="0.25">
      <c r="A21" s="81" t="s">
        <v>67</v>
      </c>
    </row>
    <row r="22" spans="1:2" ht="20.25" customHeight="1" x14ac:dyDescent="0.25">
      <c r="A22" s="86" t="s">
        <v>68</v>
      </c>
      <c r="B22" s="95">
        <v>33871</v>
      </c>
    </row>
    <row r="23" spans="1:2" ht="30" x14ac:dyDescent="0.25">
      <c r="A23" s="94" t="s">
        <v>69</v>
      </c>
      <c r="B23" s="96">
        <v>34163</v>
      </c>
    </row>
    <row r="24" spans="1:2" ht="30" x14ac:dyDescent="0.25">
      <c r="A24" s="94" t="s">
        <v>70</v>
      </c>
      <c r="B24" s="96">
        <v>49844</v>
      </c>
    </row>
    <row r="27" spans="1:2" ht="18.75" x14ac:dyDescent="0.3">
      <c r="A27" s="79" t="s">
        <v>71</v>
      </c>
      <c r="B27" s="80"/>
    </row>
    <row r="29" spans="1:2" x14ac:dyDescent="0.25">
      <c r="A29" s="87" t="s">
        <v>72</v>
      </c>
    </row>
    <row r="30" spans="1:2" x14ac:dyDescent="0.25">
      <c r="A30" s="84" t="s">
        <v>73</v>
      </c>
      <c r="B30" s="35">
        <f>'Benefit Calculations'!M37</f>
        <v>10544.791749655686</v>
      </c>
    </row>
    <row r="31" spans="1:2" x14ac:dyDescent="0.25">
      <c r="A31" s="84" t="s">
        <v>74</v>
      </c>
      <c r="B31" s="35">
        <f>'Benefit Calculations'!Q37</f>
        <v>1792.7193250514281</v>
      </c>
    </row>
    <row r="32" spans="1:2" x14ac:dyDescent="0.25">
      <c r="B32" s="88"/>
    </row>
    <row r="33" spans="1:9" x14ac:dyDescent="0.25">
      <c r="A33" s="87" t="s">
        <v>75</v>
      </c>
      <c r="B33" s="88"/>
    </row>
    <row r="34" spans="1:9" x14ac:dyDescent="0.25">
      <c r="A34" s="84" t="s">
        <v>76</v>
      </c>
      <c r="B34" s="35">
        <f>$B$30+$B$31</f>
        <v>12337.511074707114</v>
      </c>
    </row>
    <row r="35" spans="1:9" x14ac:dyDescent="0.25">
      <c r="I35" s="89"/>
    </row>
    <row r="36" spans="1:9" x14ac:dyDescent="0.25">
      <c r="A36" s="87" t="s">
        <v>77</v>
      </c>
    </row>
    <row r="37" spans="1:9" x14ac:dyDescent="0.25">
      <c r="A37" s="84" t="s">
        <v>78</v>
      </c>
      <c r="B37" s="91">
        <f>'Benefit Calculations'!K37</f>
        <v>4.1137400469252565</v>
      </c>
    </row>
    <row r="38" spans="1:9" x14ac:dyDescent="0.25">
      <c r="A38" s="84" t="s">
        <v>79</v>
      </c>
      <c r="B38" s="91">
        <f>'Benefit Calculations'!O37</f>
        <v>2.7563884493949367</v>
      </c>
    </row>
    <row r="40" spans="1:9" x14ac:dyDescent="0.25">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selection activeCell="M37" sqref="M37"/>
    </sheetView>
  </sheetViews>
  <sheetFormatPr defaultRowHeight="15" x14ac:dyDescent="0.2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80</v>
      </c>
      <c r="G2"/>
      <c r="H2"/>
      <c r="I2"/>
      <c r="K2" s="1"/>
      <c r="L2" s="38"/>
    </row>
    <row r="3" spans="2:21" ht="41.45" customHeight="1" x14ac:dyDescent="0.25">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x14ac:dyDescent="0.25">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6.4335100352800004E-2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1.4865400269599999E-2</v>
      </c>
      <c r="F4" s="54">
        <v>2018</v>
      </c>
      <c r="G4" s="63">
        <f>'Inputs &amp; Outputs'!B22</f>
        <v>33871</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x14ac:dyDescent="0.25">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6.2381498515599897E-2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1.3556400313999999E-2</v>
      </c>
      <c r="F5" s="54">
        <f t="shared" ref="F5:F36" si="2">F4+1</f>
        <v>2019</v>
      </c>
      <c r="G5" s="63">
        <f>G4+G4*H5</f>
        <v>33912.560981824674</v>
      </c>
      <c r="H5" s="62">
        <f>$C$9</f>
        <v>1.2270373424072556E-3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x14ac:dyDescent="0.25">
      <c r="F6" s="54">
        <f t="shared" si="2"/>
        <v>2020</v>
      </c>
      <c r="G6" s="63">
        <f t="shared" ref="G6:G36" si="6">G5+G5*H6</f>
        <v>33954.172960526033</v>
      </c>
      <c r="H6" s="62">
        <f t="shared" ref="H6:H11" si="7">$C$9</f>
        <v>1.2270373424072556E-3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x14ac:dyDescent="0.25">
      <c r="F7" s="54">
        <f t="shared" si="2"/>
        <v>2021</v>
      </c>
      <c r="G7" s="63">
        <f t="shared" si="6"/>
        <v>33995.835998679155</v>
      </c>
      <c r="H7" s="62">
        <f t="shared" si="7"/>
        <v>1.2270373424072556E-3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x14ac:dyDescent="0.25">
      <c r="B8" s="14" t="s">
        <v>21</v>
      </c>
      <c r="F8" s="54">
        <f t="shared" si="2"/>
        <v>2022</v>
      </c>
      <c r="G8" s="63">
        <f t="shared" si="6"/>
        <v>34037.55015893589</v>
      </c>
      <c r="H8" s="62">
        <f t="shared" si="7"/>
        <v>1.2270373424072556E-3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x14ac:dyDescent="0.25">
      <c r="B9" s="15" t="s">
        <v>98</v>
      </c>
      <c r="C9" s="53">
        <f>('Inputs &amp; Outputs'!B23/'Inputs &amp; Outputs'!B22)^(1/(2025-2018))-1</f>
        <v>1.2270373424072556E-3</v>
      </c>
      <c r="F9" s="54">
        <f t="shared" si="2"/>
        <v>2023</v>
      </c>
      <c r="G9" s="63">
        <f t="shared" si="6"/>
        <v>34079.315504024962</v>
      </c>
      <c r="H9" s="62">
        <f t="shared" si="7"/>
        <v>1.2270373424072556E-3</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x14ac:dyDescent="0.25">
      <c r="B10" s="15" t="s">
        <v>99</v>
      </c>
      <c r="C10" s="53">
        <f>('Inputs &amp; Outputs'!B24/'Inputs &amp; Outputs'!B23)^(1/(2045-2020))-1</f>
        <v>1.5224933843616562E-2</v>
      </c>
      <c r="F10" s="54">
        <f t="shared" si="2"/>
        <v>2024</v>
      </c>
      <c r="G10" s="63">
        <f t="shared" si="6"/>
        <v>34121.132096752081</v>
      </c>
      <c r="H10" s="62">
        <f t="shared" si="7"/>
        <v>1.2270373424072556E-3</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x14ac:dyDescent="0.25">
      <c r="B11" s="15" t="s">
        <v>100</v>
      </c>
      <c r="C11" s="53">
        <f>('Inputs &amp; Outputs'!B24/'Inputs &amp; Outputs'!B22)^(1/(2045-2018))-1</f>
        <v>1.44117111319364E-2</v>
      </c>
      <c r="F11" s="54">
        <f t="shared" si="2"/>
        <v>2025</v>
      </c>
      <c r="G11" s="63">
        <f>'Inputs &amp; Outputs'!$B$23</f>
        <v>34163</v>
      </c>
      <c r="H11" s="62">
        <f t="shared" si="7"/>
        <v>1.2270373424072556E-3</v>
      </c>
      <c r="I11" s="54">
        <f>IF(AND(F11&gt;='Inputs &amp; Outputs'!B$13,F11&lt;'Inputs &amp; Outputs'!B$13+'Inputs &amp; Outputs'!B$19),1,0)</f>
        <v>1</v>
      </c>
      <c r="J11" s="55">
        <f>I11*'Inputs &amp; Outputs'!B$16*'Benefit Calculations'!G11*('Benefit Calculations'!C$4-'Benefit Calculations'!C$5)</f>
        <v>619.35554795640007</v>
      </c>
      <c r="K11" s="71">
        <f t="shared" si="3"/>
        <v>0.17750802755412795</v>
      </c>
      <c r="L11" s="56">
        <f>K11*'Assumed Values'!$C$8</f>
        <v>1332.7302708763928</v>
      </c>
      <c r="M11" s="57">
        <f t="shared" si="0"/>
        <v>829.95743219005476</v>
      </c>
      <c r="N11" s="55">
        <f>I11*'Inputs &amp; Outputs'!B$16*'Benefit Calculations'!G11*('Benefit Calculations'!D$4-'Benefit Calculations'!D$5)</f>
        <v>414.99571168375076</v>
      </c>
      <c r="O11" s="71">
        <f t="shared" si="4"/>
        <v>0.1189382584324406</v>
      </c>
      <c r="P11" s="56">
        <f>ABS(O11*'Assumed Values'!$C$7)</f>
        <v>226.57738231379935</v>
      </c>
      <c r="Q11" s="57">
        <f t="shared" si="1"/>
        <v>141.10100635280486</v>
      </c>
      <c r="T11" s="68">
        <f t="shared" si="5"/>
        <v>0.16103244246866402</v>
      </c>
      <c r="U11" s="69">
        <f>T11*'Assumed Values'!$D$8</f>
        <v>0</v>
      </c>
    </row>
    <row r="12" spans="2:21" x14ac:dyDescent="0.25">
      <c r="C12" s="38"/>
      <c r="F12" s="54">
        <f t="shared" si="2"/>
        <v>2026</v>
      </c>
      <c r="G12" s="63">
        <f t="shared" si="6"/>
        <v>34683.129414899471</v>
      </c>
      <c r="H12" s="62">
        <f>$C$10</f>
        <v>1.5224933843616562E-2</v>
      </c>
      <c r="I12" s="54">
        <f>IF(AND(F12&gt;='Inputs &amp; Outputs'!B$13,F12&lt;'Inputs &amp; Outputs'!B$13+'Inputs &amp; Outputs'!B$19),1,0)</f>
        <v>1</v>
      </c>
      <c r="J12" s="55">
        <f>I12*'Inputs &amp; Outputs'!B$16*'Benefit Calculations'!G12*('Benefit Calculations'!C$4-'Benefit Calculations'!C$5)</f>
        <v>628.78519519971314</v>
      </c>
      <c r="K12" s="71">
        <f t="shared" si="3"/>
        <v>0.18021057553035041</v>
      </c>
      <c r="L12" s="56">
        <f>K12*'Assumed Values'!$C$8</f>
        <v>1353.021001081871</v>
      </c>
      <c r="M12" s="57">
        <f t="shared" si="0"/>
        <v>787.47054129735159</v>
      </c>
      <c r="N12" s="55">
        <f>I12*'Inputs &amp; Outputs'!B$16*'Benefit Calculations'!G12*('Benefit Calculations'!D$4-'Benefit Calculations'!D$5)</f>
        <v>421.3139939395204</v>
      </c>
      <c r="O12" s="71">
        <f t="shared" si="4"/>
        <v>0.12074908554854948</v>
      </c>
      <c r="P12" s="56">
        <f>ABS(O12*'Assumed Values'!$C$7)</f>
        <v>230.02700796998676</v>
      </c>
      <c r="Q12" s="57">
        <f t="shared" si="1"/>
        <v>133.87781293438695</v>
      </c>
      <c r="T12" s="68">
        <f t="shared" si="5"/>
        <v>0.16348415075192543</v>
      </c>
      <c r="U12" s="69">
        <f>T12*'Assumed Values'!$D$8</f>
        <v>0</v>
      </c>
    </row>
    <row r="13" spans="2:21" x14ac:dyDescent="0.25">
      <c r="C13" s="38"/>
      <c r="F13" s="54">
        <f t="shared" si="2"/>
        <v>2027</v>
      </c>
      <c r="G13" s="63">
        <f t="shared" si="6"/>
        <v>35211.177765730907</v>
      </c>
      <c r="H13" s="62">
        <f t="shared" ref="H13:H36" si="8">$C$10</f>
        <v>1.5224933843616562E-2</v>
      </c>
      <c r="I13" s="54">
        <f>IF(AND(F13&gt;='Inputs &amp; Outputs'!B$13,F13&lt;'Inputs &amp; Outputs'!B$13+'Inputs &amp; Outputs'!B$19),1,0)</f>
        <v>1</v>
      </c>
      <c r="J13" s="55">
        <f>I13*'Inputs &amp; Outputs'!B$16*'Benefit Calculations'!G13*('Benefit Calculations'!C$4-'Benefit Calculations'!C$5)</f>
        <v>638.35840819847431</v>
      </c>
      <c r="K13" s="71">
        <f t="shared" si="3"/>
        <v>0.18295426962072009</v>
      </c>
      <c r="L13" s="56">
        <f>K13*'Assumed Values'!$C$8</f>
        <v>1373.6206563123665</v>
      </c>
      <c r="M13" s="57">
        <f t="shared" si="0"/>
        <v>747.15862447887923</v>
      </c>
      <c r="N13" s="55">
        <f>I13*'Inputs &amp; Outputs'!B$16*'Benefit Calculations'!G13*('Benefit Calculations'!D$4-'Benefit Calculations'!D$5)</f>
        <v>427.7284716246395</v>
      </c>
      <c r="O13" s="71">
        <f t="shared" si="4"/>
        <v>0.12258748238770334</v>
      </c>
      <c r="P13" s="56">
        <f>ABS(O13*'Assumed Values'!$C$7)</f>
        <v>233.52915394857487</v>
      </c>
      <c r="Q13" s="57">
        <f t="shared" si="1"/>
        <v>127.02438670975799</v>
      </c>
      <c r="T13" s="68">
        <f t="shared" si="5"/>
        <v>0.16597318613160331</v>
      </c>
      <c r="U13" s="69">
        <f>T13*'Assumed Values'!$D$8</f>
        <v>0</v>
      </c>
    </row>
    <row r="14" spans="2:21" x14ac:dyDescent="0.25">
      <c r="C14" s="38"/>
      <c r="F14" s="54">
        <f t="shared" si="2"/>
        <v>2028</v>
      </c>
      <c r="G14" s="63">
        <f t="shared" si="6"/>
        <v>35747.265617769983</v>
      </c>
      <c r="H14" s="62">
        <f t="shared" si="8"/>
        <v>1.5224933843616562E-2</v>
      </c>
      <c r="I14" s="54">
        <f>IF(AND(F14&gt;='Inputs &amp; Outputs'!B$13,F14&lt;'Inputs &amp; Outputs'!B$13+'Inputs &amp; Outputs'!B$19),1,0)</f>
        <v>1</v>
      </c>
      <c r="J14" s="55">
        <f>I14*'Inputs &amp; Outputs'!B$16*'Benefit Calculations'!G14*('Benefit Calculations'!C$4-'Benefit Calculations'!C$5)</f>
        <v>648.07737273181249</v>
      </c>
      <c r="K14" s="71">
        <f t="shared" si="3"/>
        <v>0.18573973627210275</v>
      </c>
      <c r="L14" s="56">
        <f>K14*'Assumed Values'!$C$8</f>
        <v>1394.5339399309473</v>
      </c>
      <c r="M14" s="57">
        <f t="shared" si="0"/>
        <v>708.91034122173619</v>
      </c>
      <c r="N14" s="55">
        <f>I14*'Inputs &amp; Outputs'!B$16*'Benefit Calculations'!G14*('Benefit Calculations'!D$4-'Benefit Calculations'!D$5)</f>
        <v>434.24060930815591</v>
      </c>
      <c r="O14" s="71">
        <f t="shared" si="4"/>
        <v>0.12445386869711166</v>
      </c>
      <c r="P14" s="56">
        <f>ABS(O14*'Assumed Values'!$C$7)</f>
        <v>237.0846198679977</v>
      </c>
      <c r="Q14" s="57">
        <f t="shared" si="1"/>
        <v>120.52179868592528</v>
      </c>
      <c r="T14" s="68">
        <f t="shared" si="5"/>
        <v>0.16850011691027125</v>
      </c>
      <c r="U14" s="69">
        <f>T14*'Assumed Values'!$D$8</f>
        <v>0</v>
      </c>
    </row>
    <row r="15" spans="2:21" x14ac:dyDescent="0.25">
      <c r="C15" s="1"/>
      <c r="F15" s="54">
        <f t="shared" si="2"/>
        <v>2029</v>
      </c>
      <c r="G15" s="63">
        <f t="shared" si="6"/>
        <v>36291.515371890717</v>
      </c>
      <c r="H15" s="62">
        <f t="shared" si="8"/>
        <v>1.5224933843616562E-2</v>
      </c>
      <c r="I15" s="54">
        <f>IF(AND(F15&gt;='Inputs &amp; Outputs'!B$13,F15&lt;'Inputs &amp; Outputs'!B$13+'Inputs &amp; Outputs'!B$19),1,0)</f>
        <v>1</v>
      </c>
      <c r="J15" s="55">
        <f>I15*'Inputs &amp; Outputs'!B$16*'Benefit Calculations'!G15*('Benefit Calculations'!C$4-'Benefit Calculations'!C$5)</f>
        <v>657.94430785719908</v>
      </c>
      <c r="K15" s="71">
        <f t="shared" si="3"/>
        <v>0.18856761146897627</v>
      </c>
      <c r="L15" s="56">
        <f>K15*'Assumed Values'!$C$8</f>
        <v>1415.7656269090739</v>
      </c>
      <c r="M15" s="57">
        <f t="shared" si="0"/>
        <v>672.62005071765668</v>
      </c>
      <c r="N15" s="55">
        <f>I15*'Inputs &amp; Outputs'!B$16*'Benefit Calculations'!G15*('Benefit Calculations'!D$4-'Benefit Calculations'!D$5)</f>
        <v>440.85189385708424</v>
      </c>
      <c r="O15" s="71">
        <f t="shared" si="4"/>
        <v>0.12634867061460731</v>
      </c>
      <c r="P15" s="56">
        <f>ABS(O15*'Assumed Values'!$C$7)</f>
        <v>240.69421752082692</v>
      </c>
      <c r="Q15" s="57">
        <f t="shared" si="1"/>
        <v>114.35208887629172</v>
      </c>
      <c r="T15" s="68">
        <f t="shared" si="5"/>
        <v>0.17106552004287176</v>
      </c>
      <c r="U15" s="69">
        <f>T15*'Assumed Values'!$D$8</f>
        <v>0</v>
      </c>
    </row>
    <row r="16" spans="2:21" x14ac:dyDescent="0.25">
      <c r="C16" s="1"/>
      <c r="F16" s="54">
        <f t="shared" si="2"/>
        <v>2030</v>
      </c>
      <c r="G16" s="63">
        <f t="shared" si="6"/>
        <v>36844.051292512348</v>
      </c>
      <c r="H16" s="62">
        <f t="shared" si="8"/>
        <v>1.5224933843616562E-2</v>
      </c>
      <c r="I16" s="54">
        <f>IF(AND(F16&gt;='Inputs &amp; Outputs'!B$13,F16&lt;'Inputs &amp; Outputs'!B$13+'Inputs &amp; Outputs'!B$19),1,0)</f>
        <v>1</v>
      </c>
      <c r="J16" s="55">
        <f>I16*'Inputs &amp; Outputs'!B$16*'Benefit Calculations'!G16*('Benefit Calculations'!C$4-'Benefit Calculations'!C$5)</f>
        <v>667.96146641710902</v>
      </c>
      <c r="K16" s="71">
        <f t="shared" si="3"/>
        <v>0.19143854087864021</v>
      </c>
      <c r="L16" s="56">
        <f>K16*'Assumed Values'!$C$8</f>
        <v>1437.3205649168306</v>
      </c>
      <c r="M16" s="57">
        <f t="shared" si="0"/>
        <v>638.18752008572244</v>
      </c>
      <c r="N16" s="55">
        <f>I16*'Inputs &amp; Outputs'!B$16*'Benefit Calculations'!G16*('Benefit Calculations'!D$4-'Benefit Calculations'!D$5)</f>
        <v>447.56383477589145</v>
      </c>
      <c r="O16" s="71">
        <f t="shared" si="4"/>
        <v>0.12827232076594361</v>
      </c>
      <c r="P16" s="56">
        <f>ABS(O16*'Assumed Values'!$C$7)</f>
        <v>244.35877105912257</v>
      </c>
      <c r="Q16" s="57">
        <f t="shared" si="1"/>
        <v>108.49821669561929</v>
      </c>
      <c r="T16" s="68">
        <f t="shared" si="5"/>
        <v>0.17366998126844835</v>
      </c>
      <c r="U16" s="69">
        <f>T16*'Assumed Values'!$D$8</f>
        <v>0</v>
      </c>
    </row>
    <row r="17" spans="3:21" x14ac:dyDescent="0.25">
      <c r="C17" s="1"/>
      <c r="F17" s="54">
        <f t="shared" si="2"/>
        <v>2031</v>
      </c>
      <c r="G17" s="63">
        <f t="shared" si="6"/>
        <v>37404.999535971663</v>
      </c>
      <c r="H17" s="62">
        <f t="shared" si="8"/>
        <v>1.5224933843616562E-2</v>
      </c>
      <c r="I17" s="54">
        <f>IF(AND(F17&gt;='Inputs &amp; Outputs'!B$13,F17&lt;'Inputs &amp; Outputs'!B$13+'Inputs &amp; Outputs'!B$19),1,0)</f>
        <v>1</v>
      </c>
      <c r="J17" s="55">
        <f>I17*'Inputs &amp; Outputs'!B$16*'Benefit Calculations'!G17*('Benefit Calculations'!C$4-'Benefit Calculations'!C$5)</f>
        <v>678.13113555339464</v>
      </c>
      <c r="K17" s="71">
        <f t="shared" si="3"/>
        <v>0.19435317999863599</v>
      </c>
      <c r="L17" s="56">
        <f>K17*'Assumed Values'!$C$8</f>
        <v>1459.203675429759</v>
      </c>
      <c r="M17" s="57">
        <f t="shared" si="0"/>
        <v>605.51764753163479</v>
      </c>
      <c r="N17" s="55">
        <f>I17*'Inputs &amp; Outputs'!B$16*'Benefit Calculations'!G17*('Benefit Calculations'!D$4-'Benefit Calculations'!D$5)</f>
        <v>454.37796455114972</v>
      </c>
      <c r="O17" s="71">
        <f t="shared" si="4"/>
        <v>0.13022525836357224</v>
      </c>
      <c r="P17" s="56">
        <f>ABS(O17*'Assumed Values'!$C$7)</f>
        <v>248.0791171826051</v>
      </c>
      <c r="Q17" s="57">
        <f t="shared" si="1"/>
        <v>102.94401389435555</v>
      </c>
      <c r="T17" s="68">
        <f t="shared" si="5"/>
        <v>0.17631409524388261</v>
      </c>
      <c r="U17" s="69">
        <f>T17*'Assumed Values'!$D$8</f>
        <v>0</v>
      </c>
    </row>
    <row r="18" spans="3:21" x14ac:dyDescent="0.25">
      <c r="F18" s="54">
        <f t="shared" si="2"/>
        <v>2032</v>
      </c>
      <c r="G18" s="63">
        <f t="shared" si="6"/>
        <v>37974.488179327338</v>
      </c>
      <c r="H18" s="62">
        <f t="shared" si="8"/>
        <v>1.5224933843616562E-2</v>
      </c>
      <c r="I18" s="54">
        <f>IF(AND(F18&gt;='Inputs &amp; Outputs'!B$13,F18&lt;'Inputs &amp; Outputs'!B$13+'Inputs &amp; Outputs'!B$19),1,0)</f>
        <v>1</v>
      </c>
      <c r="J18" s="55">
        <f>I18*'Inputs &amp; Outputs'!B$16*'Benefit Calculations'!G18*('Benefit Calculations'!C$4-'Benefit Calculations'!C$5)</f>
        <v>688.45563722949169</v>
      </c>
      <c r="K18" s="71">
        <f t="shared" si="3"/>
        <v>0.19731219430641175</v>
      </c>
      <c r="L18" s="56">
        <f>K18*'Assumed Values'!$C$8</f>
        <v>1481.4199548525394</v>
      </c>
      <c r="M18" s="57">
        <f t="shared" si="0"/>
        <v>574.52019967892181</v>
      </c>
      <c r="N18" s="55">
        <f>I18*'Inputs &amp; Outputs'!B$16*'Benefit Calculations'!G18*('Benefit Calculations'!D$4-'Benefit Calculations'!D$5)</f>
        <v>461.29583900143814</v>
      </c>
      <c r="O18" s="71">
        <f t="shared" si="4"/>
        <v>0.13220792930692551</v>
      </c>
      <c r="P18" s="56">
        <f>ABS(O18*'Assumed Values'!$C$7)</f>
        <v>251.85610532969309</v>
      </c>
      <c r="Q18" s="57">
        <f t="shared" si="1"/>
        <v>97.674139902330353</v>
      </c>
      <c r="T18" s="68">
        <f t="shared" si="5"/>
        <v>0.17899846567966785</v>
      </c>
      <c r="U18" s="69">
        <f>T18*'Assumed Values'!$D$8</f>
        <v>0</v>
      </c>
    </row>
    <row r="19" spans="3:21" x14ac:dyDescent="0.25">
      <c r="F19" s="54">
        <f t="shared" si="2"/>
        <v>2033</v>
      </c>
      <c r="G19" s="63">
        <f t="shared" si="6"/>
        <v>38552.647249602793</v>
      </c>
      <c r="H19" s="62">
        <f t="shared" si="8"/>
        <v>1.5224933843616562E-2</v>
      </c>
      <c r="I19" s="54">
        <f>IF(AND(F19&gt;='Inputs &amp; Outputs'!B$13,F19&lt;'Inputs &amp; Outputs'!B$13+'Inputs &amp; Outputs'!B$19),1,0)</f>
        <v>1</v>
      </c>
      <c r="J19" s="55">
        <f>I19*'Inputs &amp; Outputs'!B$16*'Benefit Calculations'!G19*('Benefit Calculations'!C$4-'Benefit Calculations'!C$5)</f>
        <v>698.93732876057538</v>
      </c>
      <c r="K19" s="71">
        <f t="shared" si="3"/>
        <v>0.20031625941126563</v>
      </c>
      <c r="L19" s="56">
        <f>K19*'Assumed Values'!$C$8</f>
        <v>1503.9744756597825</v>
      </c>
      <c r="M19" s="57">
        <f t="shared" si="0"/>
        <v>545.10956234659307</v>
      </c>
      <c r="N19" s="55">
        <f>I19*'Inputs &amp; Outputs'!B$16*'Benefit Calculations'!G19*('Benefit Calculations'!D$4-'Benefit Calculations'!D$5)</f>
        <v>468.31903763257054</v>
      </c>
      <c r="O19" s="71">
        <f t="shared" si="4"/>
        <v>0.13422078628422496</v>
      </c>
      <c r="P19" s="56">
        <f>ABS(O19*'Assumed Values'!$C$7)</f>
        <v>255.69059787144855</v>
      </c>
      <c r="Q19" s="57">
        <f t="shared" si="1"/>
        <v>92.67403945848173</v>
      </c>
      <c r="T19" s="68">
        <f t="shared" si="5"/>
        <v>0.1817237054777496</v>
      </c>
      <c r="U19" s="69">
        <f>T19*'Assumed Values'!$D$8</f>
        <v>0</v>
      </c>
    </row>
    <row r="20" spans="3:21" x14ac:dyDescent="0.25">
      <c r="F20" s="54">
        <f t="shared" si="2"/>
        <v>2034</v>
      </c>
      <c r="G20" s="63">
        <f t="shared" si="6"/>
        <v>39139.608753474284</v>
      </c>
      <c r="H20" s="62">
        <f t="shared" si="8"/>
        <v>1.5224933843616562E-2</v>
      </c>
      <c r="I20" s="54">
        <f>IF(AND(F20&gt;='Inputs &amp; Outputs'!B$13,F20&lt;'Inputs &amp; Outputs'!B$13+'Inputs &amp; Outputs'!B$19),1,0)</f>
        <v>1</v>
      </c>
      <c r="J20" s="55">
        <f>I20*'Inputs &amp; Outputs'!B$16*'Benefit Calculations'!G20*('Benefit Calculations'!C$4-'Benefit Calculations'!C$5)</f>
        <v>709.5786033517893</v>
      </c>
      <c r="K20" s="71">
        <f t="shared" si="3"/>
        <v>0.2033660612086029</v>
      </c>
      <c r="L20" s="56">
        <f>K20*'Assumed Values'!$C$8</f>
        <v>1526.8723875541905</v>
      </c>
      <c r="M20" s="57">
        <f t="shared" si="0"/>
        <v>517.20450408489978</v>
      </c>
      <c r="N20" s="55">
        <f>I20*'Inputs &amp; Outputs'!B$16*'Benefit Calculations'!G20*('Benefit Calculations'!D$4-'Benefit Calculations'!D$5)</f>
        <v>475.44916399823262</v>
      </c>
      <c r="O20" s="71">
        <f t="shared" si="4"/>
        <v>0.13626428887584047</v>
      </c>
      <c r="P20" s="56">
        <f>ABS(O20*'Assumed Values'!$C$7)</f>
        <v>259.58347030847608</v>
      </c>
      <c r="Q20" s="57">
        <f t="shared" si="1"/>
        <v>87.929902409586745</v>
      </c>
      <c r="T20" s="68">
        <f t="shared" si="5"/>
        <v>0.18449043687146521</v>
      </c>
      <c r="U20" s="69">
        <f>T20*'Assumed Values'!$D$8</f>
        <v>0</v>
      </c>
    </row>
    <row r="21" spans="3:21" x14ac:dyDescent="0.25">
      <c r="F21" s="54">
        <f t="shared" si="2"/>
        <v>2035</v>
      </c>
      <c r="G21" s="63">
        <f t="shared" si="6"/>
        <v>39735.506707410968</v>
      </c>
      <c r="H21" s="62">
        <f t="shared" si="8"/>
        <v>1.5224933843616562E-2</v>
      </c>
      <c r="I21" s="54">
        <f>IF(AND(F21&gt;='Inputs &amp; Outputs'!B$13,F21&lt;'Inputs &amp; Outputs'!B$13+'Inputs &amp; Outputs'!B$19),1,0)</f>
        <v>1</v>
      </c>
      <c r="J21" s="55">
        <f>I21*'Inputs &amp; Outputs'!B$16*'Benefit Calculations'!G21*('Benefit Calculations'!C$4-'Benefit Calculations'!C$5)</f>
        <v>720.38189064466633</v>
      </c>
      <c r="K21" s="71">
        <f t="shared" si="3"/>
        <v>0.20646229603654082</v>
      </c>
      <c r="L21" s="56">
        <f>K21*'Assumed Values'!$C$8</f>
        <v>1550.1189186423485</v>
      </c>
      <c r="M21" s="57">
        <f t="shared" si="0"/>
        <v>490.72795181608706</v>
      </c>
      <c r="N21" s="55">
        <f>I21*'Inputs &amp; Outputs'!B$16*'Benefit Calculations'!G21*('Benefit Calculations'!D$4-'Benefit Calculations'!D$5)</f>
        <v>482.68784606610865</v>
      </c>
      <c r="O21" s="71">
        <f t="shared" si="4"/>
        <v>0.13833890365922266</v>
      </c>
      <c r="P21" s="56">
        <f>ABS(O21*'Assumed Values'!$C$7)</f>
        <v>263.53561147081916</v>
      </c>
      <c r="Q21" s="57">
        <f t="shared" si="1"/>
        <v>83.428625566961131</v>
      </c>
      <c r="T21" s="68">
        <f t="shared" si="5"/>
        <v>0.18729929156761324</v>
      </c>
      <c r="U21" s="69">
        <f>T21*'Assumed Values'!$D$8</f>
        <v>0</v>
      </c>
    </row>
    <row r="22" spans="3:21" x14ac:dyDescent="0.25">
      <c r="F22" s="54">
        <f t="shared" si="2"/>
        <v>2036</v>
      </c>
      <c r="G22" s="63">
        <f t="shared" si="6"/>
        <v>40340.477168273879</v>
      </c>
      <c r="H22" s="62">
        <f t="shared" si="8"/>
        <v>1.5224933843616562E-2</v>
      </c>
      <c r="I22" s="54">
        <f>IF(AND(F22&gt;='Inputs &amp; Outputs'!B$13,F22&lt;'Inputs &amp; Outputs'!B$13+'Inputs &amp; Outputs'!B$19),1,0)</f>
        <v>1</v>
      </c>
      <c r="J22" s="55">
        <f>I22*'Inputs &amp; Outputs'!B$16*'Benefit Calculations'!G22*('Benefit Calculations'!C$4-'Benefit Calculations'!C$5)</f>
        <v>731.34965727187068</v>
      </c>
      <c r="K22" s="71">
        <f t="shared" si="3"/>
        <v>0.20960567083489831</v>
      </c>
      <c r="L22" s="56">
        <f>K22*'Assumed Values'!$C$8</f>
        <v>1573.7193766284165</v>
      </c>
      <c r="M22" s="57">
        <f t="shared" si="0"/>
        <v>465.60677796046764</v>
      </c>
      <c r="N22" s="55">
        <f>I22*'Inputs &amp; Outputs'!B$16*'Benefit Calculations'!G22*('Benefit Calculations'!D$4-'Benefit Calculations'!D$5)</f>
        <v>490.0367365895828</v>
      </c>
      <c r="O22" s="71">
        <f t="shared" si="4"/>
        <v>0.14044510431543272</v>
      </c>
      <c r="P22" s="56">
        <f>ABS(O22*'Assumed Values'!$C$7)</f>
        <v>267.54792372089935</v>
      </c>
      <c r="Q22" s="57">
        <f t="shared" si="1"/>
        <v>79.157776515777527</v>
      </c>
      <c r="T22" s="68">
        <f t="shared" si="5"/>
        <v>0.19015091089068639</v>
      </c>
      <c r="U22" s="69">
        <f>T22*'Assumed Values'!$D$8</f>
        <v>0</v>
      </c>
    </row>
    <row r="23" spans="3:21" x14ac:dyDescent="0.25">
      <c r="F23" s="54">
        <f t="shared" si="2"/>
        <v>2037</v>
      </c>
      <c r="G23" s="63">
        <f t="shared" si="6"/>
        <v>40954.658264380771</v>
      </c>
      <c r="H23" s="62">
        <f t="shared" si="8"/>
        <v>1.5224933843616562E-2</v>
      </c>
      <c r="I23" s="54">
        <f>IF(AND(F23&gt;='Inputs &amp; Outputs'!B$13,F23&lt;'Inputs &amp; Outputs'!B$13+'Inputs &amp; Outputs'!B$19),1,0)</f>
        <v>1</v>
      </c>
      <c r="J23" s="55">
        <f>I23*'Inputs &amp; Outputs'!B$16*'Benefit Calculations'!G23*('Benefit Calculations'!C$4-'Benefit Calculations'!C$5)</f>
        <v>742.48440742038645</v>
      </c>
      <c r="K23" s="71">
        <f t="shared" si="3"/>
        <v>0.21279690330660647</v>
      </c>
      <c r="L23" s="56">
        <f>K23*'Assumed Values'!$C$8</f>
        <v>1597.6791500260015</v>
      </c>
      <c r="M23" s="57">
        <f t="shared" si="0"/>
        <v>441.77159845986461</v>
      </c>
      <c r="N23" s="55">
        <f>I23*'Inputs &amp; Outputs'!B$16*'Benefit Calculations'!G23*('Benefit Calculations'!D$4-'Benefit Calculations'!D$5)</f>
        <v>497.49751348510097</v>
      </c>
      <c r="O23" s="71">
        <f t="shared" si="4"/>
        <v>0.14258337173729504</v>
      </c>
      <c r="P23" s="56">
        <f>ABS(O23*'Assumed Values'!$C$7)</f>
        <v>271.62132315954705</v>
      </c>
      <c r="Q23" s="57">
        <f t="shared" si="1"/>
        <v>75.10555927704489</v>
      </c>
      <c r="T23" s="68">
        <f t="shared" si="5"/>
        <v>0.19304594592930047</v>
      </c>
      <c r="U23" s="69">
        <f>T23*'Assumed Values'!$D$8</f>
        <v>0</v>
      </c>
    </row>
    <row r="24" spans="3:21" x14ac:dyDescent="0.25">
      <c r="F24" s="54">
        <f t="shared" si="2"/>
        <v>2038</v>
      </c>
      <c r="G24" s="63">
        <f t="shared" si="6"/>
        <v>41578.190227043895</v>
      </c>
      <c r="H24" s="62">
        <f t="shared" si="8"/>
        <v>1.5224933843616562E-2</v>
      </c>
      <c r="I24" s="54">
        <f>IF(AND(F24&gt;='Inputs &amp; Outputs'!B$13,F24&lt;'Inputs &amp; Outputs'!B$13+'Inputs &amp; Outputs'!B$19),1,0)</f>
        <v>1</v>
      </c>
      <c r="J24" s="55">
        <f>I24*'Inputs &amp; Outputs'!B$16*'Benefit Calculations'!G24*('Benefit Calculations'!C$4-'Benefit Calculations'!C$5)</f>
        <v>753.78868340327881</v>
      </c>
      <c r="K24" s="71">
        <f t="shared" si="3"/>
        <v>0.21603672208157607</v>
      </c>
      <c r="L24" s="56">
        <f>K24*'Assumed Values'!$C$8</f>
        <v>1622.003709388473</v>
      </c>
      <c r="M24" s="57">
        <f t="shared" si="0"/>
        <v>419.15658114056527</v>
      </c>
      <c r="N24" s="55">
        <f>I24*'Inputs &amp; Outputs'!B$16*'Benefit Calculations'!G24*('Benefit Calculations'!D$4-'Benefit Calculations'!D$5)</f>
        <v>505.07188021527543</v>
      </c>
      <c r="O24" s="71">
        <f t="shared" si="4"/>
        <v>0.14475419413919513</v>
      </c>
      <c r="P24" s="56">
        <f>ABS(O24*'Assumed Values'!$C$7)</f>
        <v>275.75673983516674</v>
      </c>
      <c r="Q24" s="57">
        <f t="shared" si="1"/>
        <v>71.260781727407206</v>
      </c>
      <c r="T24" s="68">
        <f t="shared" si="5"/>
        <v>0.19598505768485247</v>
      </c>
      <c r="U24" s="69">
        <f>T24*'Assumed Values'!$D$8</f>
        <v>0</v>
      </c>
    </row>
    <row r="25" spans="3:21" x14ac:dyDescent="0.25">
      <c r="F25" s="54">
        <f t="shared" si="2"/>
        <v>2039</v>
      </c>
      <c r="G25" s="63">
        <f t="shared" si="6"/>
        <v>42211.215422587942</v>
      </c>
      <c r="H25" s="62">
        <f t="shared" si="8"/>
        <v>1.5224933843616562E-2</v>
      </c>
      <c r="I25" s="54">
        <f>IF(AND(F25&gt;='Inputs &amp; Outputs'!B$13,F25&lt;'Inputs &amp; Outputs'!B$13+'Inputs &amp; Outputs'!B$19),1,0)</f>
        <v>1</v>
      </c>
      <c r="J25" s="55">
        <f>I25*'Inputs &amp; Outputs'!B$16*'Benefit Calculations'!G25*('Benefit Calculations'!C$4-'Benefit Calculations'!C$5)</f>
        <v>765.26506624016054</v>
      </c>
      <c r="K25" s="71">
        <f t="shared" si="3"/>
        <v>0.21932586688305983</v>
      </c>
      <c r="L25" s="56">
        <f>K25*'Assumed Values'!$C$8</f>
        <v>1646.6986085580131</v>
      </c>
      <c r="M25" s="57">
        <f t="shared" si="0"/>
        <v>397.69926388649236</v>
      </c>
      <c r="N25" s="55">
        <f>I25*'Inputs &amp; Outputs'!B$16*'Benefit Calculations'!G25*('Benefit Calculations'!D$4-'Benefit Calculations'!D$5)</f>
        <v>512.76156617782397</v>
      </c>
      <c r="O25" s="71">
        <f t="shared" si="4"/>
        <v>0.14695806716855039</v>
      </c>
      <c r="P25" s="56">
        <f>ABS(O25*'Assumed Values'!$C$7)</f>
        <v>279.95511795608849</v>
      </c>
      <c r="Q25" s="57">
        <f t="shared" si="1"/>
        <v>67.612824686776975</v>
      </c>
      <c r="T25" s="68">
        <f t="shared" si="5"/>
        <v>0.19896891722244173</v>
      </c>
      <c r="U25" s="69">
        <f>T25*'Assumed Values'!$D$8</f>
        <v>0</v>
      </c>
    </row>
    <row r="26" spans="3:21" x14ac:dyDescent="0.25">
      <c r="F26" s="54">
        <f t="shared" si="2"/>
        <v>2040</v>
      </c>
      <c r="G26" s="63">
        <f t="shared" si="6"/>
        <v>42853.878384855489</v>
      </c>
      <c r="H26" s="62">
        <f t="shared" si="8"/>
        <v>1.5224933843616562E-2</v>
      </c>
      <c r="I26" s="54">
        <f>IF(AND(F26&gt;='Inputs &amp; Outputs'!B$13,F26&lt;'Inputs &amp; Outputs'!B$13+'Inputs &amp; Outputs'!B$19),1,0)</f>
        <v>1</v>
      </c>
      <c r="J26" s="55">
        <f>I26*'Inputs &amp; Outputs'!B$16*'Benefit Calculations'!G26*('Benefit Calculations'!C$4-'Benefit Calculations'!C$5)</f>
        <v>776.9161762464978</v>
      </c>
      <c r="K26" s="71">
        <f t="shared" si="3"/>
        <v>0.22266508869654825</v>
      </c>
      <c r="L26" s="56">
        <f>K26*'Assumed Values'!$C$8</f>
        <v>1671.7694859336843</v>
      </c>
      <c r="M26" s="57">
        <f t="shared" si="0"/>
        <v>377.34038212039184</v>
      </c>
      <c r="N26" s="55">
        <f>I26*'Inputs &amp; Outputs'!B$16*'Benefit Calculations'!G26*('Benefit Calculations'!D$4-'Benefit Calculations'!D$5)</f>
        <v>520.56832710043057</v>
      </c>
      <c r="O26" s="71">
        <f t="shared" si="4"/>
        <v>0.14919549401897736</v>
      </c>
      <c r="P26" s="56">
        <f>ABS(O26*'Assumed Values'!$C$7)</f>
        <v>284.21741610615186</v>
      </c>
      <c r="Q26" s="57">
        <f t="shared" si="1"/>
        <v>64.151612588423575</v>
      </c>
      <c r="T26" s="68">
        <f t="shared" si="5"/>
        <v>0.20199820582408945</v>
      </c>
      <c r="U26" s="69">
        <f>T26*'Assumed Values'!$D$8</f>
        <v>0</v>
      </c>
    </row>
    <row r="27" spans="3:21" x14ac:dyDescent="0.25">
      <c r="F27" s="54">
        <f t="shared" si="2"/>
        <v>2041</v>
      </c>
      <c r="G27" s="63">
        <f t="shared" si="6"/>
        <v>43506.3258482073</v>
      </c>
      <c r="H27" s="62">
        <f t="shared" si="8"/>
        <v>1.5224933843616562E-2</v>
      </c>
      <c r="I27" s="54">
        <f>IF(AND(F27&gt;='Inputs &amp; Outputs'!B$13,F27&lt;'Inputs &amp; Outputs'!B$13+'Inputs &amp; Outputs'!B$19),1,0)</f>
        <v>1</v>
      </c>
      <c r="J27" s="55">
        <f>I27*'Inputs &amp; Outputs'!B$16*'Benefit Calculations'!G27*('Benefit Calculations'!C$4-'Benefit Calculations'!C$5)</f>
        <v>788.74467363188614</v>
      </c>
      <c r="K27" s="71">
        <f t="shared" si="3"/>
        <v>0.22605514994123618</v>
      </c>
      <c r="L27" s="56">
        <f>K27*'Assumed Values'!$C$8</f>
        <v>1697.2220657588014</v>
      </c>
      <c r="M27" s="57">
        <f t="shared" si="0"/>
        <v>358.02370511654181</v>
      </c>
      <c r="N27" s="55">
        <f>I27*'Inputs &amp; Outputs'!B$16*'Benefit Calculations'!G27*('Benefit Calculations'!D$4-'Benefit Calculations'!D$5)</f>
        <v>528.49394544161669</v>
      </c>
      <c r="O27" s="71">
        <f t="shared" si="4"/>
        <v>0.15146698554518195</v>
      </c>
      <c r="P27" s="56">
        <f>ABS(O27*'Assumed Values'!$C$7)</f>
        <v>288.54460746357159</v>
      </c>
      <c r="Q27" s="57">
        <f t="shared" si="1"/>
        <v>60.867585650508055</v>
      </c>
      <c r="T27" s="68">
        <f t="shared" si="5"/>
        <v>0.2050736151442904</v>
      </c>
      <c r="U27" s="69">
        <f>T27*'Assumed Values'!$D$8</f>
        <v>0</v>
      </c>
    </row>
    <row r="28" spans="3:21" x14ac:dyDescent="0.25">
      <c r="F28" s="54">
        <f t="shared" si="2"/>
        <v>2042</v>
      </c>
      <c r="G28" s="63">
        <f t="shared" si="6"/>
        <v>44168.706781025081</v>
      </c>
      <c r="H28" s="62">
        <f t="shared" si="8"/>
        <v>1.5224933843616562E-2</v>
      </c>
      <c r="I28" s="54">
        <f>IF(AND(F28&gt;='Inputs &amp; Outputs'!B$13,F28&lt;'Inputs &amp; Outputs'!B$13+'Inputs &amp; Outputs'!B$19),1,0)</f>
        <v>1</v>
      </c>
      <c r="J28" s="55">
        <f>I28*'Inputs &amp; Outputs'!B$16*'Benefit Calculations'!G28*('Benefit Calculations'!C$4-'Benefit Calculations'!C$5)</f>
        <v>800.75325910743652</v>
      </c>
      <c r="K28" s="71">
        <f t="shared" si="3"/>
        <v>0.22949682464410032</v>
      </c>
      <c r="L28" s="56">
        <f>K28*'Assumed Values'!$C$8</f>
        <v>1723.0621594279053</v>
      </c>
      <c r="M28" s="57">
        <f t="shared" si="0"/>
        <v>339.69588069288562</v>
      </c>
      <c r="N28" s="55">
        <f>I28*'Inputs &amp; Outputs'!B$16*'Benefit Calculations'!G28*('Benefit Calculations'!D$4-'Benefit Calculations'!D$5)</f>
        <v>536.54023079771719</v>
      </c>
      <c r="O28" s="71">
        <f t="shared" si="4"/>
        <v>0.15377306037959934</v>
      </c>
      <c r="P28" s="56">
        <f>ABS(O28*'Assumed Values'!$C$7)</f>
        <v>292.93768002313675</v>
      </c>
      <c r="Q28" s="57">
        <f t="shared" si="1"/>
        <v>57.751673472203457</v>
      </c>
      <c r="T28" s="68">
        <f t="shared" si="5"/>
        <v>0.20819584736793348</v>
      </c>
      <c r="U28" s="69">
        <f>T28*'Assumed Values'!$D$8</f>
        <v>0</v>
      </c>
    </row>
    <row r="29" spans="3:21" x14ac:dyDescent="0.25">
      <c r="F29" s="54">
        <f t="shared" si="2"/>
        <v>2043</v>
      </c>
      <c r="G29" s="63">
        <f t="shared" si="6"/>
        <v>44841.172419724287</v>
      </c>
      <c r="H29" s="62">
        <f t="shared" si="8"/>
        <v>1.5224933843616562E-2</v>
      </c>
      <c r="I29" s="54">
        <f>IF(AND(F29&gt;='Inputs &amp; Outputs'!B$13,F29&lt;'Inputs &amp; Outputs'!B$13+'Inputs &amp; Outputs'!B$19),1,0)</f>
        <v>1</v>
      </c>
      <c r="J29" s="55">
        <f>I29*'Inputs &amp; Outputs'!B$16*'Benefit Calculations'!G29*('Benefit Calculations'!C$4-'Benefit Calculations'!C$5)</f>
        <v>812.94467450240768</v>
      </c>
      <c r="K29" s="71">
        <f t="shared" si="3"/>
        <v>0.23299089861662683</v>
      </c>
      <c r="L29" s="56">
        <f>K29*'Assumed Values'!$C$8</f>
        <v>1749.2956668136342</v>
      </c>
      <c r="M29" s="57">
        <f t="shared" si="0"/>
        <v>322.30628785362973</v>
      </c>
      <c r="N29" s="55">
        <f>I29*'Inputs &amp; Outputs'!B$16*'Benefit Calculations'!G29*('Benefit Calculations'!D$4-'Benefit Calculations'!D$5)</f>
        <v>544.70902031605124</v>
      </c>
      <c r="O29" s="71">
        <f t="shared" si="4"/>
        <v>0.15611424505080923</v>
      </c>
      <c r="P29" s="56">
        <f>ABS(O29*'Assumed Values'!$C$7)</f>
        <v>297.39763682179159</v>
      </c>
      <c r="Q29" s="57">
        <f t="shared" si="1"/>
        <v>54.795269981472813</v>
      </c>
      <c r="T29" s="68">
        <f t="shared" si="5"/>
        <v>0.21136561537062601</v>
      </c>
      <c r="U29" s="69">
        <f>T29*'Assumed Values'!$D$8</f>
        <v>0</v>
      </c>
    </row>
    <row r="30" spans="3:21" x14ac:dyDescent="0.25">
      <c r="F30" s="54">
        <f t="shared" si="2"/>
        <v>2044</v>
      </c>
      <c r="G30" s="63">
        <f t="shared" si="6"/>
        <v>45523.876303284793</v>
      </c>
      <c r="H30" s="62">
        <f t="shared" si="8"/>
        <v>1.5224933843616562E-2</v>
      </c>
      <c r="I30" s="54">
        <f>IF(AND(F30&gt;='Inputs &amp; Outputs'!B$13,F30&lt;'Inputs &amp; Outputs'!B$13+'Inputs &amp; Outputs'!B$19),1,0)</f>
        <v>1</v>
      </c>
      <c r="J30" s="55">
        <f>I30*'Inputs &amp; Outputs'!B$16*'Benefit Calculations'!G30*('Benefit Calculations'!C$4-'Benefit Calculations'!C$5)</f>
        <v>825.32170339022719</v>
      </c>
      <c r="K30" s="71">
        <f t="shared" si="3"/>
        <v>0.23653816963422974</v>
      </c>
      <c r="L30" s="56">
        <f>K30*'Assumed Values'!$C$8</f>
        <v>1775.928577613797</v>
      </c>
      <c r="M30" s="57">
        <f t="shared" si="0"/>
        <v>305.80689697531113</v>
      </c>
      <c r="N30" s="55">
        <f>I30*'Inputs &amp; Outputs'!B$16*'Benefit Calculations'!G30*('Benefit Calculations'!D$4-'Benefit Calculations'!D$5)</f>
        <v>553.00217911438426</v>
      </c>
      <c r="O30" s="71">
        <f t="shared" si="4"/>
        <v>0.15849107410375393</v>
      </c>
      <c r="P30" s="56">
        <f>ABS(O30*'Assumed Values'!$C$7)</f>
        <v>301.92549616765126</v>
      </c>
      <c r="Q30" s="57">
        <f t="shared" si="1"/>
        <v>51.990209665312008</v>
      </c>
      <c r="T30" s="68">
        <f t="shared" si="5"/>
        <v>0.21458364288145906</v>
      </c>
      <c r="U30" s="69">
        <f>T30*'Assumed Values'!$D$8</f>
        <v>0</v>
      </c>
    </row>
    <row r="31" spans="3:21" x14ac:dyDescent="0.25">
      <c r="F31" s="54">
        <f t="shared" si="2"/>
        <v>2045</v>
      </c>
      <c r="G31" s="63">
        <f>'Inputs &amp; Outputs'!$B$24</f>
        <v>49844</v>
      </c>
      <c r="H31" s="62">
        <f t="shared" si="8"/>
        <v>1.5224933843616562E-2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x14ac:dyDescent="0.25">
      <c r="F32" s="54">
        <f t="shared" si="2"/>
        <v>2046</v>
      </c>
      <c r="G32" s="63">
        <f t="shared" si="6"/>
        <v>50602.871602501225</v>
      </c>
      <c r="H32" s="62">
        <f t="shared" si="8"/>
        <v>1.5224933843616562E-2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x14ac:dyDescent="0.25">
      <c r="F33" s="54">
        <f t="shared" si="2"/>
        <v>2047</v>
      </c>
      <c r="G33" s="63">
        <f t="shared" si="6"/>
        <v>51373.29697494633</v>
      </c>
      <c r="H33" s="62">
        <f t="shared" si="8"/>
        <v>1.5224933843616562E-2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x14ac:dyDescent="0.25">
      <c r="F34" s="54">
        <f t="shared" si="2"/>
        <v>2048</v>
      </c>
      <c r="G34" s="63">
        <f t="shared" si="6"/>
        <v>52155.452022718353</v>
      </c>
      <c r="H34" s="62">
        <f t="shared" si="8"/>
        <v>1.5224933843616562E-2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x14ac:dyDescent="0.25">
      <c r="F35" s="54">
        <f t="shared" si="2"/>
        <v>2049</v>
      </c>
      <c r="G35" s="63">
        <f t="shared" si="6"/>
        <v>52949.515329348156</v>
      </c>
      <c r="H35" s="62">
        <f t="shared" si="8"/>
        <v>1.5224933843616562E-2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x14ac:dyDescent="0.25">
      <c r="F36" s="54">
        <f t="shared" si="2"/>
        <v>2050</v>
      </c>
      <c r="G36" s="63">
        <f t="shared" si="6"/>
        <v>53755.668197289044</v>
      </c>
      <c r="H36" s="62">
        <f t="shared" si="8"/>
        <v>1.5224933843616562E-2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x14ac:dyDescent="0.25">
      <c r="F37" s="54" t="s">
        <v>101</v>
      </c>
      <c r="G37" s="54"/>
      <c r="H37" s="54"/>
      <c r="I37" s="54"/>
      <c r="J37" s="55">
        <f>SUM(J4:J36)</f>
        <v>14353.535195114775</v>
      </c>
      <c r="K37" s="55">
        <f t="shared" ref="K37:Q37" si="9">SUM(K4:K36)</f>
        <v>4.1137400469252565</v>
      </c>
      <c r="L37" s="58">
        <f t="shared" si="9"/>
        <v>30885.960272314831</v>
      </c>
      <c r="M37" s="59">
        <f t="shared" si="9"/>
        <v>10544.791749655686</v>
      </c>
      <c r="N37" s="55">
        <f t="shared" si="9"/>
        <v>9617.5057656765239</v>
      </c>
      <c r="O37" s="55">
        <f t="shared" si="9"/>
        <v>2.7563884493949367</v>
      </c>
      <c r="P37" s="55">
        <f t="shared" si="9"/>
        <v>5250.9199960973556</v>
      </c>
      <c r="Q37" s="59">
        <f t="shared" si="9"/>
        <v>1792.7193250514281</v>
      </c>
      <c r="T37" s="68">
        <f>SUM(T4:T36)</f>
        <v>3.7319191507298415</v>
      </c>
      <c r="U37" s="69">
        <f>SUM(U4:U36)</f>
        <v>0</v>
      </c>
    </row>
    <row r="39" spans="6:21" x14ac:dyDescent="0.25">
      <c r="O39" s="60"/>
    </row>
    <row r="40" spans="6:21" x14ac:dyDescent="0.25">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102</v>
      </c>
    </row>
    <row r="3" spans="2:4" x14ac:dyDescent="0.25">
      <c r="B3" s="2"/>
    </row>
    <row r="4" spans="2:4" x14ac:dyDescent="0.25">
      <c r="B4" s="3" t="s">
        <v>103</v>
      </c>
    </row>
    <row r="5" spans="2:4" x14ac:dyDescent="0.25">
      <c r="B5" s="3"/>
    </row>
    <row r="6" spans="2:4" x14ac:dyDescent="0.25">
      <c r="B6" s="26" t="s">
        <v>104</v>
      </c>
      <c r="C6" s="26" t="s">
        <v>105</v>
      </c>
      <c r="D6" s="2"/>
    </row>
    <row r="7" spans="2:4" x14ac:dyDescent="0.25">
      <c r="B7" s="25" t="s">
        <v>106</v>
      </c>
      <c r="C7" s="51">
        <v>1905</v>
      </c>
      <c r="D7" s="69"/>
    </row>
    <row r="8" spans="2:4" x14ac:dyDescent="0.25">
      <c r="B8" s="25" t="s">
        <v>107</v>
      </c>
      <c r="C8" s="51">
        <v>7508</v>
      </c>
      <c r="D8" s="69"/>
    </row>
    <row r="9" spans="2:4" x14ac:dyDescent="0.25">
      <c r="C9" s="24"/>
    </row>
    <row r="10" spans="2:4" x14ac:dyDescent="0.25">
      <c r="C10" s="24"/>
    </row>
    <row r="11" spans="2:4" x14ac:dyDescent="0.25">
      <c r="B11" s="2" t="s">
        <v>108</v>
      </c>
    </row>
    <row r="12" spans="2:4" ht="75" x14ac:dyDescent="0.2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x14ac:dyDescent="0.25">
      <c r="A1" s="99" t="s">
        <v>111</v>
      </c>
      <c r="B1" s="99"/>
      <c r="C1" s="99"/>
      <c r="D1" s="99"/>
      <c r="E1" s="99"/>
      <c r="F1" s="99"/>
      <c r="G1" s="99"/>
      <c r="H1" s="99"/>
      <c r="I1" s="99"/>
      <c r="J1" s="99"/>
    </row>
    <row r="2" spans="1:14" x14ac:dyDescent="0.25">
      <c r="A2" s="72" t="s">
        <v>112</v>
      </c>
      <c r="B2" s="72" t="s">
        <v>113</v>
      </c>
      <c r="C2" s="92" t="s">
        <v>114</v>
      </c>
      <c r="D2" s="92" t="s">
        <v>115</v>
      </c>
      <c r="E2" s="92" t="s">
        <v>116</v>
      </c>
      <c r="F2" s="92" t="s">
        <v>55</v>
      </c>
      <c r="G2" s="92" t="s">
        <v>117</v>
      </c>
      <c r="H2" s="92" t="s">
        <v>118</v>
      </c>
      <c r="I2" s="92" t="s">
        <v>119</v>
      </c>
      <c r="J2" s="92" t="s">
        <v>120</v>
      </c>
    </row>
    <row r="3" spans="1:14" x14ac:dyDescent="0.25">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x14ac:dyDescent="0.25">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x14ac:dyDescent="0.25">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x14ac:dyDescent="0.25">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x14ac:dyDescent="0.25">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x14ac:dyDescent="0.25">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x14ac:dyDescent="0.25">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x14ac:dyDescent="0.25">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x14ac:dyDescent="0.25">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x14ac:dyDescent="0.25">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x14ac:dyDescent="0.25">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x14ac:dyDescent="0.25">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x14ac:dyDescent="0.25">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x14ac:dyDescent="0.25">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x14ac:dyDescent="0.25">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x14ac:dyDescent="0.25">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x14ac:dyDescent="0.25">
      <c r="A20" s="99" t="s">
        <v>111</v>
      </c>
      <c r="B20" s="99"/>
      <c r="C20" s="99"/>
      <c r="D20" s="99"/>
      <c r="E20" s="99"/>
      <c r="F20" s="99"/>
      <c r="G20" s="99"/>
      <c r="H20" s="99"/>
      <c r="I20" s="99"/>
      <c r="J20" s="99"/>
    </row>
    <row r="21" spans="1:10" x14ac:dyDescent="0.25">
      <c r="A21" s="72" t="s">
        <v>112</v>
      </c>
      <c r="B21" s="72" t="s">
        <v>113</v>
      </c>
      <c r="C21" s="92" t="s">
        <v>114</v>
      </c>
      <c r="D21" s="92" t="s">
        <v>115</v>
      </c>
      <c r="E21" s="92" t="s">
        <v>116</v>
      </c>
      <c r="F21" s="92" t="s">
        <v>55</v>
      </c>
      <c r="G21" s="92" t="s">
        <v>117</v>
      </c>
      <c r="H21" s="92" t="s">
        <v>118</v>
      </c>
      <c r="I21" s="92" t="s">
        <v>119</v>
      </c>
      <c r="J21" s="92" t="s">
        <v>120</v>
      </c>
    </row>
    <row r="22" spans="1:10" x14ac:dyDescent="0.25">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x14ac:dyDescent="0.25">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x14ac:dyDescent="0.25">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x14ac:dyDescent="0.25">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x14ac:dyDescent="0.25">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x14ac:dyDescent="0.25">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x14ac:dyDescent="0.25">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x14ac:dyDescent="0.25">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x14ac:dyDescent="0.25">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x14ac:dyDescent="0.25">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x14ac:dyDescent="0.25">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x14ac:dyDescent="0.25">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x14ac:dyDescent="0.25">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x14ac:dyDescent="0.25">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x14ac:dyDescent="0.25">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x14ac:dyDescent="0.25">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selection activeCell="K11" sqref="K11"/>
    </sheetView>
  </sheetViews>
  <sheetFormatPr defaultRowHeight="15" x14ac:dyDescent="0.25"/>
  <cols>
    <col min="1" max="1" width="13.42578125" bestFit="1" customWidth="1"/>
    <col min="3" max="9" width="12.140625" style="38" bestFit="1" customWidth="1"/>
    <col min="10" max="10" width="10.5703125" style="38" bestFit="1" customWidth="1"/>
  </cols>
  <sheetData>
    <row r="1" spans="1:14" x14ac:dyDescent="0.25">
      <c r="A1" s="99" t="s">
        <v>111</v>
      </c>
      <c r="B1" s="99"/>
      <c r="C1" s="99"/>
      <c r="D1" s="99"/>
      <c r="E1" s="99"/>
      <c r="F1" s="99"/>
      <c r="G1" s="99"/>
      <c r="H1" s="99"/>
      <c r="I1" s="99"/>
      <c r="J1" s="99"/>
    </row>
    <row r="2" spans="1:14" s="2" customFormat="1" x14ac:dyDescent="0.25">
      <c r="A2" s="72" t="s">
        <v>112</v>
      </c>
      <c r="B2" s="72" t="s">
        <v>113</v>
      </c>
      <c r="C2" s="92" t="s">
        <v>114</v>
      </c>
      <c r="D2" s="92" t="s">
        <v>115</v>
      </c>
      <c r="E2" s="92" t="s">
        <v>116</v>
      </c>
      <c r="F2" s="92" t="s">
        <v>55</v>
      </c>
      <c r="G2" s="92" t="s">
        <v>117</v>
      </c>
      <c r="H2" s="92" t="s">
        <v>118</v>
      </c>
      <c r="I2" s="92" t="s">
        <v>119</v>
      </c>
      <c r="J2" s="92" t="s">
        <v>120</v>
      </c>
    </row>
    <row r="3" spans="1:14" x14ac:dyDescent="0.25">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x14ac:dyDescent="0.25">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x14ac:dyDescent="0.25">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x14ac:dyDescent="0.25">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x14ac:dyDescent="0.25">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x14ac:dyDescent="0.25">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x14ac:dyDescent="0.25">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x14ac:dyDescent="0.25">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x14ac:dyDescent="0.25">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x14ac:dyDescent="0.25">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x14ac:dyDescent="0.25">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x14ac:dyDescent="0.25">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x14ac:dyDescent="0.25">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x14ac:dyDescent="0.25">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x14ac:dyDescent="0.25">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x14ac:dyDescent="0.25">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x14ac:dyDescent="0.25">
      <c r="A20" s="99" t="s">
        <v>111</v>
      </c>
      <c r="B20" s="99"/>
      <c r="C20" s="99"/>
      <c r="D20" s="99"/>
      <c r="E20" s="99"/>
      <c r="F20" s="99"/>
      <c r="G20" s="99"/>
      <c r="H20" s="99"/>
      <c r="I20" s="99"/>
      <c r="J20" s="99"/>
    </row>
    <row r="21" spans="1:10" s="2" customFormat="1" x14ac:dyDescent="0.25">
      <c r="A21" s="72" t="s">
        <v>112</v>
      </c>
      <c r="B21" s="72" t="s">
        <v>113</v>
      </c>
      <c r="C21" s="92" t="s">
        <v>114</v>
      </c>
      <c r="D21" s="92" t="s">
        <v>115</v>
      </c>
      <c r="E21" s="92" t="s">
        <v>116</v>
      </c>
      <c r="F21" s="92" t="s">
        <v>55</v>
      </c>
      <c r="G21" s="92" t="s">
        <v>117</v>
      </c>
      <c r="H21" s="92" t="s">
        <v>118</v>
      </c>
      <c r="I21" s="92" t="s">
        <v>119</v>
      </c>
      <c r="J21" s="92" t="s">
        <v>120</v>
      </c>
    </row>
    <row r="22" spans="1:10" x14ac:dyDescent="0.25">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x14ac:dyDescent="0.25">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x14ac:dyDescent="0.25">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x14ac:dyDescent="0.25">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x14ac:dyDescent="0.25">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x14ac:dyDescent="0.25">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x14ac:dyDescent="0.25">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x14ac:dyDescent="0.25">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x14ac:dyDescent="0.25">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x14ac:dyDescent="0.25">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x14ac:dyDescent="0.25">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x14ac:dyDescent="0.25">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x14ac:dyDescent="0.25">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x14ac:dyDescent="0.25">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x14ac:dyDescent="0.25">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x14ac:dyDescent="0.25">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124</v>
      </c>
      <c r="C2" t="s">
        <v>125</v>
      </c>
    </row>
    <row r="3" spans="2:4" x14ac:dyDescent="0.25">
      <c r="C3" t="s">
        <v>126</v>
      </c>
    </row>
    <row r="5" spans="2:4" x14ac:dyDescent="0.25">
      <c r="C5" s="74" t="s">
        <v>127</v>
      </c>
      <c r="D5" s="75" t="s">
        <v>128</v>
      </c>
    </row>
    <row r="6" spans="2:4" x14ac:dyDescent="0.25">
      <c r="C6" s="73" t="s">
        <v>60</v>
      </c>
      <c r="D6" s="54">
        <v>20</v>
      </c>
    </row>
    <row r="7" spans="2:4" x14ac:dyDescent="0.25">
      <c r="C7" s="73" t="s">
        <v>129</v>
      </c>
      <c r="D7" s="54">
        <v>20</v>
      </c>
    </row>
    <row r="8" spans="2:4" x14ac:dyDescent="0.25">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A0B7F5-F659-47A3-B4BE-F1103B67409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B5D90540-3F5E-474C-9A86-D177C8B4CD2B"/>
    <ds:schemaRef ds:uri="bb691747-8bc2-4259-b27e-e7a3fc70b31c"/>
    <ds:schemaRef ds:uri="http://www.w3.org/XML/1998/namespace"/>
  </ds:schemaRefs>
</ds:datastoreItem>
</file>

<file path=customXml/itemProps2.xml><?xml version="1.0" encoding="utf-8"?>
<ds:datastoreItem xmlns:ds="http://schemas.openxmlformats.org/officeDocument/2006/customXml" ds:itemID="{EDC956E2-53C6-454F-9A01-960FBB7FCD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BDC5CD-7107-434B-AD89-0599177DAF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2018-10-31T00:09:35Z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