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70_HW_SH332/"/>
    </mc:Choice>
  </mc:AlternateContent>
  <xr:revisionPtr revIDLastSave="28" documentId="8_{C036F021-1AA4-46F9-BF3F-CF1BFEEAD021}" xr6:coauthVersionLast="40" xr6:coauthVersionMax="40" xr10:uidLastSave="{18DF059B-980E-4B09-9653-098EB402F775}"/>
  <bookViews>
    <workbookView xWindow="0" yWindow="0" windowWidth="28800" windowHeight="14030"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M21" i="12"/>
  <c r="M22" i="12"/>
  <c r="M23" i="12"/>
  <c r="M24" i="12"/>
  <c r="M25" i="12"/>
  <c r="M26" i="12"/>
  <c r="M27" i="12"/>
  <c r="M28" i="12"/>
  <c r="M29" i="12"/>
  <c r="M30" i="12"/>
  <c r="M31" i="12"/>
  <c r="M32" i="12"/>
  <c r="M33" i="12"/>
  <c r="M34" i="12"/>
  <c r="M35" i="12"/>
  <c r="M36" i="12"/>
  <c r="E4" i="12"/>
  <c r="E5" i="12"/>
  <c r="E6" i="12"/>
  <c r="E19" i="12"/>
  <c r="F26" i="12"/>
  <c r="E18" i="12"/>
  <c r="E26" i="12"/>
  <c r="E21" i="12"/>
  <c r="H26" i="12"/>
  <c r="E17" i="12"/>
  <c r="D26" i="12"/>
  <c r="E22" i="12"/>
  <c r="I26" i="12"/>
  <c r="E20" i="12"/>
  <c r="G26" i="12"/>
  <c r="G19" i="7"/>
  <c r="H18" i="7"/>
  <c r="I18" i="7"/>
  <c r="J18" i="7"/>
  <c r="H27" i="5"/>
  <c r="I27" i="5"/>
  <c r="J27" i="5"/>
  <c r="K27" i="5"/>
  <c r="G28" i="5"/>
  <c r="S20" i="12"/>
  <c r="P21" i="12"/>
  <c r="Q20" i="12"/>
  <c r="G27" i="12"/>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c r="J28" i="5"/>
  <c r="K28" i="5"/>
  <c r="G29" i="5"/>
  <c r="G20" i="7"/>
  <c r="H19" i="7"/>
  <c r="I19" i="7"/>
  <c r="J19" i="7"/>
  <c r="S21" i="12"/>
  <c r="P22" i="12"/>
  <c r="Q21" i="12"/>
  <c r="J27" i="12"/>
  <c r="J30" i="12"/>
  <c r="J32" i="12"/>
  <c r="J31" i="12"/>
  <c r="J28" i="12"/>
  <c r="J33" i="12"/>
  <c r="J29" i="12"/>
  <c r="H20" i="7"/>
  <c r="I20" i="7"/>
  <c r="J20" i="7"/>
  <c r="G21" i="7"/>
  <c r="J29" i="5"/>
  <c r="K29" i="5"/>
  <c r="H29" i="5"/>
  <c r="S22" i="12"/>
  <c r="P23" i="12"/>
  <c r="Q22" i="12"/>
  <c r="J5" i="12"/>
  <c r="R10" i="12"/>
  <c r="R11" i="12"/>
  <c r="R12" i="12"/>
  <c r="R13" i="12"/>
  <c r="R14" i="12"/>
  <c r="R15" i="12"/>
  <c r="R16" i="12"/>
  <c r="R17" i="12"/>
  <c r="R18" i="12"/>
  <c r="R19" i="12"/>
  <c r="R20" i="12"/>
  <c r="R21" i="12"/>
  <c r="R22" i="12"/>
  <c r="H21" i="7"/>
  <c r="I21" i="7"/>
  <c r="J21" i="7"/>
  <c r="G22" i="7"/>
  <c r="I29" i="5"/>
  <c r="B13" i="5"/>
  <c r="S23" i="12"/>
  <c r="P24" i="12"/>
  <c r="Q23" i="12"/>
  <c r="R23" i="12"/>
  <c r="T4" i="12"/>
  <c r="U4" i="12"/>
  <c r="G23" i="7"/>
  <c r="H22" i="7"/>
  <c r="I22" i="7"/>
  <c r="J22" i="7"/>
  <c r="S24" i="12"/>
  <c r="P25" i="12"/>
  <c r="Q24" i="12"/>
  <c r="R24" i="12"/>
  <c r="T5" i="12"/>
  <c r="U5" i="12"/>
  <c r="G24" i="7"/>
  <c r="H23" i="7"/>
  <c r="I23" i="7"/>
  <c r="J23" i="7"/>
  <c r="S25" i="12"/>
  <c r="P26" i="12"/>
  <c r="Q25" i="12"/>
  <c r="R25" i="12"/>
  <c r="T6" i="12"/>
  <c r="U6" i="12"/>
  <c r="H24" i="7"/>
  <c r="I24" i="7"/>
  <c r="J24" i="7"/>
  <c r="G25" i="7"/>
  <c r="S26" i="12"/>
  <c r="P27" i="12"/>
  <c r="Q26" i="12"/>
  <c r="R26" i="12"/>
  <c r="T7" i="12"/>
  <c r="U7" i="12"/>
  <c r="H25" i="7"/>
  <c r="I25" i="7"/>
  <c r="J25" i="7"/>
  <c r="G26" i="7"/>
  <c r="S27" i="12"/>
  <c r="P28" i="12"/>
  <c r="Q27" i="12"/>
  <c r="R27" i="12"/>
  <c r="T8" i="12"/>
  <c r="U8" i="12"/>
  <c r="G27" i="7"/>
  <c r="H26" i="7"/>
  <c r="I26" i="7"/>
  <c r="J26" i="7"/>
  <c r="S28" i="12"/>
  <c r="P29" i="12"/>
  <c r="Q28" i="12"/>
  <c r="R28" i="12"/>
  <c r="T9" i="12"/>
  <c r="U9" i="12"/>
  <c r="G28" i="7"/>
  <c r="H27" i="7"/>
  <c r="I27" i="7"/>
  <c r="J27" i="7"/>
  <c r="Q29" i="12"/>
  <c r="P30" i="12"/>
  <c r="Q30" i="12"/>
  <c r="S29" i="12"/>
  <c r="R29" i="12"/>
  <c r="R30" i="12"/>
  <c r="T10" i="12"/>
  <c r="U10" i="12"/>
  <c r="H28" i="7"/>
  <c r="I28" i="7"/>
  <c r="J28" i="7"/>
  <c r="G29" i="7"/>
  <c r="P31" i="12"/>
  <c r="Q31" i="12"/>
  <c r="S30" i="12"/>
  <c r="R31" i="12"/>
  <c r="T11" i="12"/>
  <c r="U11" i="12"/>
  <c r="H29" i="7"/>
  <c r="I29" i="7"/>
  <c r="J29" i="7"/>
  <c r="B11" i="7"/>
  <c r="B12" i="7"/>
  <c r="S32" i="12"/>
  <c r="P32" i="12"/>
  <c r="Q32" i="12"/>
  <c r="S31" i="12"/>
  <c r="R32" i="12"/>
  <c r="T12" i="12"/>
  <c r="U12" i="12"/>
  <c r="S33" i="12"/>
  <c r="P33" i="12"/>
  <c r="Q33" i="12"/>
  <c r="R33" i="12"/>
  <c r="T13" i="12"/>
  <c r="U13" i="12"/>
  <c r="S34" i="12"/>
  <c r="P34" i="12"/>
  <c r="Q34" i="12"/>
  <c r="R34" i="12"/>
  <c r="T14" i="12"/>
  <c r="U14" i="12"/>
  <c r="S35" i="12"/>
  <c r="P35" i="12"/>
  <c r="Q35" i="12"/>
  <c r="R35" i="12"/>
  <c r="T15" i="12"/>
  <c r="U15" i="12"/>
  <c r="S36" i="12"/>
  <c r="P36" i="12"/>
  <c r="Q36" i="12"/>
  <c r="R36" i="12"/>
  <c r="T16" i="12"/>
  <c r="U16" i="12"/>
  <c r="T17" i="12"/>
  <c r="U17" i="12"/>
  <c r="T18" i="12"/>
  <c r="U18" i="12"/>
  <c r="T19" i="12"/>
  <c r="U19" i="12"/>
  <c r="T20" i="12"/>
  <c r="U20" i="12"/>
  <c r="T21" i="12"/>
  <c r="U21" i="12"/>
  <c r="T22" i="12"/>
  <c r="U22" i="12"/>
  <c r="T23" i="12"/>
  <c r="U23" i="12"/>
  <c r="T24" i="12"/>
  <c r="U24" i="12"/>
  <c r="T25" i="12"/>
  <c r="U25" i="12"/>
  <c r="T26" i="12"/>
  <c r="U26" i="12"/>
  <c r="T27" i="12"/>
  <c r="U27" i="12"/>
  <c r="T28" i="12"/>
  <c r="U28" i="12"/>
  <c r="T29" i="12"/>
  <c r="U29" i="12"/>
  <c r="T30" i="12"/>
  <c r="U30" i="12"/>
  <c r="T31" i="12"/>
  <c r="U31" i="12"/>
  <c r="T32" i="12"/>
  <c r="U32" i="12"/>
  <c r="T33" i="12"/>
  <c r="U33" i="12"/>
  <c r="T34" i="12"/>
  <c r="U34" i="12"/>
  <c r="T35" i="12"/>
  <c r="U35" i="12"/>
  <c r="T36" i="12"/>
  <c r="U36" i="12"/>
  <c r="U37" i="12"/>
  <c r="C37" i="11"/>
</calcChain>
</file>

<file path=xl/sharedStrings.xml><?xml version="1.0" encoding="utf-8"?>
<sst xmlns="http://schemas.openxmlformats.org/spreadsheetml/2006/main" count="441" uniqueCount="285">
  <si>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</si>
  <si>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</si>
  <si>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</si>
  <si>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</si>
  <si>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</si>
  <si>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</si>
  <si>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</si>
  <si>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</si>
  <si>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</si>
  <si>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</si>
  <si>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</si>
  <si>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</si>
  <si>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</si>
  <si>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</si>
  <si>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</si>
  <si>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</si>
  <si>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</si>
  <si>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</si>
  <si>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</si>
  <si>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</si>
  <si>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</si>
  <si>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</si>
  <si>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</si>
  <si>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</si>
  <si>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</si>
  <si>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</si>
  <si>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</si>
  <si>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</si>
  <si>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</si>
  <si>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</si>
  <si>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</si>
  <si>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</si>
  <si>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</si>
  <si>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</si>
  <si>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</si>
  <si>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</si>
  <si>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</si>
  <si>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</si>
  <si>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</si>
  <si>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</si>
  <si>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</si>
  <si>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</si>
  <si>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</si>
  <si>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</si>
  <si>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</si>
  <si>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</si>
  <si>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</si>
  <si>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</si>
  <si>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Hempstead Highway</t>
  </si>
  <si>
    <t>County</t>
  </si>
  <si>
    <t>Harris</t>
  </si>
  <si>
    <t>Data entered by the sponsors</t>
  </si>
  <si>
    <t>Facility Type</t>
  </si>
  <si>
    <t>Non-Freeway</t>
  </si>
  <si>
    <t>HGAC regional travel demand model data provided by HGAC upon request</t>
  </si>
  <si>
    <t>Street Name:</t>
  </si>
  <si>
    <t>Populated based on selection in cell "C18"</t>
  </si>
  <si>
    <t>Limits (From)</t>
  </si>
  <si>
    <t>IH 610</t>
  </si>
  <si>
    <t>Benefits calculated by the template</t>
  </si>
  <si>
    <t>Limits (To)</t>
  </si>
  <si>
    <t>W Little York</t>
  </si>
  <si>
    <t>Length (in Miles)</t>
  </si>
  <si>
    <t>Application ID Number:</t>
  </si>
  <si>
    <t>Sponsor ID Number (CSJ, etc.):</t>
  </si>
  <si>
    <t>0912-72-922; 0912-72-923; 0912-72-924; 0912-14-218</t>
  </si>
  <si>
    <t>Proposed Improvements Information</t>
  </si>
  <si>
    <r>
      <t xml:space="preserve">Year Open to Traffic? </t>
    </r>
    <r>
      <rPr>
        <b/>
        <sz val="11"/>
        <color theme="1"/>
        <rFont val="Calibri"/>
        <family val="2"/>
        <scheme val="minor"/>
      </rPr>
      <t>(Must be &gt;=2021)</t>
    </r>
  </si>
  <si>
    <t>Safety Improvement Type</t>
  </si>
  <si>
    <t>Widen Lane(s)</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</si>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</sst>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F22" sqref="F22"/>
    </sheetView>
  </sheetViews>
  <sheetFormatPr defaultRowHeight="14.4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600000000000001">
      <c r="B3" s="43" t="s">
        <v>46</v>
      </c>
      <c r="C3" s="44"/>
      <c r="D3" s="44"/>
      <c r="E3" s="44"/>
      <c r="F3" s="44"/>
    </row>
    <row r="5" spans="2:19">
      <c r="B5" s="5" t="s">
        <v>0</v>
      </c>
    </row>
    <row r="6" spans="2:19" ht="15">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48</v>
      </c>
      <c r="D9" s="53"/>
      <c r="E9" s="99"/>
      <c r="F9" t="s">
        <v>56</v>
      </c>
    </row>
    <row r="10" spans="2:19">
      <c r="B10" s="3" t="s">
        <v>57</v>
      </c>
      <c r="C10" s="97" t="s">
        <v>58</v>
      </c>
      <c r="D10" s="53"/>
      <c r="E10" s="8"/>
      <c r="F10" t="s">
        <v>59</v>
      </c>
    </row>
    <row r="11" spans="2:19">
      <c r="B11" s="3" t="s">
        <v>60</v>
      </c>
      <c r="C11" s="97" t="s">
        <v>61</v>
      </c>
      <c r="D11" s="53"/>
    </row>
    <row r="12" spans="2:19">
      <c r="B12" s="3" t="s">
        <v>62</v>
      </c>
      <c r="C12" s="97">
        <v>7.85</v>
      </c>
      <c r="D12" s="79"/>
      <c r="N12" s="133"/>
      <c r="O12" s="133"/>
      <c r="P12" s="133"/>
      <c r="Q12" s="133"/>
      <c r="R12" s="133"/>
      <c r="S12" s="133"/>
    </row>
    <row r="13" spans="2:19">
      <c r="B13" s="3" t="s">
        <v>63</v>
      </c>
      <c r="C13" s="97"/>
      <c r="D13" s="53"/>
    </row>
    <row r="14" spans="2:19">
      <c r="B14" s="3" t="s">
        <v>64</v>
      </c>
      <c r="C14" s="97" t="s">
        <v>65</v>
      </c>
      <c r="D14" s="53"/>
      <c r="G14" s="90"/>
    </row>
    <row r="15" spans="2:19">
      <c r="C15" s="53"/>
      <c r="D15" s="53"/>
    </row>
    <row r="16" spans="2:19">
      <c r="B16" s="5" t="s">
        <v>66</v>
      </c>
    </row>
    <row r="17" spans="2:13">
      <c r="B17" s="3" t="s">
        <v>67</v>
      </c>
      <c r="C17" s="97">
        <v>2028</v>
      </c>
      <c r="D17" s="80"/>
    </row>
    <row r="18" spans="2:13" ht="15">
      <c r="B18" s="3" t="s">
        <v>68</v>
      </c>
      <c r="C18" s="98" t="s">
        <v>69</v>
      </c>
    </row>
    <row r="19" spans="2:13">
      <c r="B19" s="99" t="s">
        <v>70</v>
      </c>
      <c r="C19" s="128">
        <f>VLOOKUP(C18,'CRF Lookup Table'!C3:F84,2, FALSE)</f>
        <v>502</v>
      </c>
      <c r="D19" s="81"/>
    </row>
    <row r="20" spans="2:13">
      <c r="B20" s="99" t="s">
        <v>71</v>
      </c>
      <c r="C20" s="129">
        <f>VLOOKUP(C18,'CRF Lookup Table'!C3:F84,3, FALSE)</f>
        <v>0.3</v>
      </c>
      <c r="D20" s="53"/>
      <c r="F20" s="57"/>
    </row>
    <row r="21" spans="2:13">
      <c r="B21" s="99" t="s">
        <v>72</v>
      </c>
      <c r="C21" s="128">
        <f>VLOOKUP(C18,'CRF Lookup Table'!C3:F84,4, FALSE)</f>
        <v>20</v>
      </c>
      <c r="D21" s="53"/>
      <c r="F21" s="57"/>
    </row>
    <row r="22" spans="2:13">
      <c r="F22" s="57"/>
      <c r="M22" s="87"/>
    </row>
    <row r="23" spans="2:13">
      <c r="C23" s="53"/>
      <c r="D23" s="53"/>
      <c r="F23" s="57"/>
    </row>
    <row r="24" spans="2:13">
      <c r="B24" s="91" t="s">
        <v>73</v>
      </c>
      <c r="C24" s="61"/>
      <c r="D24" s="61"/>
      <c r="M24" s="87"/>
    </row>
    <row r="25" spans="2:13">
      <c r="B25" s="3" t="s">
        <v>74</v>
      </c>
      <c r="C25" s="7">
        <v>24007</v>
      </c>
      <c r="D25" s="82"/>
      <c r="I25" s="41"/>
    </row>
    <row r="26" spans="2:13">
      <c r="I26" s="41"/>
    </row>
    <row r="27" spans="2:13">
      <c r="B27" s="73" t="s">
        <v>75</v>
      </c>
      <c r="C27" s="74">
        <v>8628</v>
      </c>
      <c r="D27" s="82"/>
      <c r="I27" s="41"/>
    </row>
    <row r="28" spans="2:13">
      <c r="B28" s="73" t="s">
        <v>76</v>
      </c>
      <c r="C28" s="74">
        <v>22311</v>
      </c>
      <c r="D28" s="82"/>
      <c r="I28" s="41"/>
    </row>
    <row r="29" spans="2:13">
      <c r="B29" s="73" t="s">
        <v>77</v>
      </c>
      <c r="C29" s="75">
        <v>16867</v>
      </c>
      <c r="D29" s="58"/>
      <c r="I29" s="41"/>
    </row>
    <row r="30" spans="2:13">
      <c r="B30" s="73" t="s">
        <v>78</v>
      </c>
      <c r="C30" s="75">
        <v>22312</v>
      </c>
      <c r="D30" s="58"/>
      <c r="I30" s="41"/>
    </row>
    <row r="31" spans="2:13">
      <c r="B31" s="73" t="s">
        <v>79</v>
      </c>
      <c r="C31" s="74">
        <v>27547</v>
      </c>
      <c r="D31" s="82"/>
      <c r="H31" s="59"/>
    </row>
    <row r="32" spans="2:13">
      <c r="B32" s="73" t="s">
        <v>80</v>
      </c>
      <c r="C32" s="74">
        <v>22173</v>
      </c>
      <c r="D32" s="82"/>
    </row>
    <row r="34" spans="2:9" ht="18.600000000000001">
      <c r="B34" s="43" t="s">
        <v>81</v>
      </c>
      <c r="C34" s="44"/>
      <c r="D34" s="44"/>
      <c r="E34" s="44"/>
      <c r="F34" s="44"/>
      <c r="I34" s="59"/>
    </row>
    <row r="36" spans="2:9">
      <c r="B36" s="9" t="s">
        <v>82</v>
      </c>
    </row>
    <row r="37" spans="2:9">
      <c r="B37" s="8" t="s">
        <v>83</v>
      </c>
      <c r="C37" s="34">
        <f>Calculations!U37</f>
        <v>108385.93937954435</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ColWidth="9.140625" defaultRowHeight="14.4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84</v>
      </c>
      <c r="M3" s="130" t="s">
        <v>3</v>
      </c>
      <c r="N3" s="130" t="s">
        <v>85</v>
      </c>
      <c r="O3" s="102" t="s">
        <v>86</v>
      </c>
      <c r="P3" s="103" t="s">
        <v>87</v>
      </c>
      <c r="Q3" s="130" t="s">
        <v>88</v>
      </c>
      <c r="R3" s="130" t="s">
        <v>89</v>
      </c>
      <c r="S3" s="130" t="s">
        <v>90</v>
      </c>
      <c r="T3" s="130" t="s">
        <v>91</v>
      </c>
      <c r="U3" s="130" t="s">
        <v>92</v>
      </c>
    </row>
    <row r="4" spans="1:21" ht="15.6">
      <c r="A4" s="13" t="s">
        <v>20</v>
      </c>
      <c r="B4" s="39">
        <v>2018</v>
      </c>
      <c r="D4" s="104" t="s">
        <v>93</v>
      </c>
      <c r="E4" s="105">
        <f>VLOOKUP(Year_Open_to_Traffic?,Calculations!M4:N36,2,Calculations!N4:N36)</f>
        <v>50515.082962277353</v>
      </c>
      <c r="G4" s="136" t="s">
        <v>94</v>
      </c>
      <c r="H4" s="136"/>
      <c r="I4" s="136"/>
      <c r="J4" s="136"/>
      <c r="L4" s="106"/>
      <c r="M4" s="107">
        <v>2018</v>
      </c>
      <c r="N4" s="108">
        <f>_2018_Volume_ADT</f>
        <v>24007</v>
      </c>
      <c r="O4" s="109" t="s">
        <v>95</v>
      </c>
      <c r="P4" s="110">
        <f>MIN(B12,1)</f>
        <v>0.38671507328223748</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6">
      <c r="A5" s="13" t="s">
        <v>96</v>
      </c>
      <c r="B5" s="13">
        <f>Service_Life</f>
        <v>20</v>
      </c>
      <c r="D5" s="104" t="s">
        <v>97</v>
      </c>
      <c r="E5" s="105">
        <f>$E$4*'Inputs &amp; Outputs'!$C$12</f>
        <v>396543.40125387721</v>
      </c>
      <c r="G5" s="137" t="s">
        <v>98</v>
      </c>
      <c r="H5" s="137"/>
      <c r="I5" s="137"/>
      <c r="J5" s="111">
        <f>SUMPRODUCT(Possible_Crash_Reductions,'Value of Statistical Life'!E5:E11)</f>
        <v>16488036.940264072</v>
      </c>
      <c r="L5" s="106"/>
      <c r="M5" s="11">
        <f t="shared" ref="M5:M36" si="1">M4+1</f>
        <v>2019</v>
      </c>
      <c r="N5" s="112">
        <f>N4+(N4*O5)</f>
        <v>26419.680733239114</v>
      </c>
      <c r="O5" s="113">
        <f t="shared" ref="O5:O11" si="2">IF(ISERROR(_2025_2045_Demand_Growth),_2018_2045_Demand_Growth,_2018_2025_Demand_Growth)</f>
        <v>0.10049905166156181</v>
      </c>
      <c r="P5" s="114">
        <f t="shared" ref="P5:P11" si="3">P4*(1+IFERROR(_2018_2025_V_C_Growth,_2018_2045_V_C_Growth))</f>
        <v>0.42557684649775485</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6">
      <c r="A6" s="13" t="s">
        <v>99</v>
      </c>
      <c r="B6" s="13">
        <v>260</v>
      </c>
      <c r="D6" s="104" t="s">
        <v>100</v>
      </c>
      <c r="E6" s="105">
        <f>$E$5*$B$6</f>
        <v>103101284.32600808</v>
      </c>
      <c r="L6" s="106"/>
      <c r="M6" s="107">
        <f t="shared" si="1"/>
        <v>2020</v>
      </c>
      <c r="N6" s="112">
        <f t="shared" ref="N6:N36" si="6">N5+(N5*O6)</f>
        <v>29074.833592130883</v>
      </c>
      <c r="O6" s="113">
        <f t="shared" si="2"/>
        <v>0.10049905166156181</v>
      </c>
      <c r="P6" s="114">
        <f t="shared" si="3"/>
        <v>0.46834391723538893</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6">
      <c r="B7" s="53"/>
      <c r="L7" s="106"/>
      <c r="M7" s="11">
        <f t="shared" si="1"/>
        <v>2021</v>
      </c>
      <c r="N7" s="112">
        <f t="shared" si="6"/>
        <v>31996.826795357756</v>
      </c>
      <c r="O7" s="113">
        <f t="shared" si="2"/>
        <v>0.10049905166156181</v>
      </c>
      <c r="P7" s="114">
        <f t="shared" si="3"/>
        <v>0.51540873667464893</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6">
      <c r="A8" s="116" t="s">
        <v>21</v>
      </c>
      <c r="B8" s="100"/>
      <c r="D8" s="117" t="s">
        <v>101</v>
      </c>
      <c r="E8" s="57"/>
      <c r="L8" s="106"/>
      <c r="M8" s="107">
        <f t="shared" si="1"/>
        <v>2022</v>
      </c>
      <c r="N8" s="112">
        <f t="shared" si="6"/>
        <v>35212.477544470457</v>
      </c>
      <c r="O8" s="113">
        <f t="shared" si="2"/>
        <v>0.10049905166156181</v>
      </c>
      <c r="P8" s="114">
        <f t="shared" si="3"/>
        <v>0.56720319420107734</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6">
      <c r="A9" s="39" t="s">
        <v>102</v>
      </c>
      <c r="B9" s="118">
        <f>(_2025_Peak_Period_Volume/'Inputs &amp; Outputs'!$C$27)^(1/(2025-2018))-1</f>
        <v>0.10049905166156181</v>
      </c>
      <c r="D9" s="39" t="s">
        <v>103</v>
      </c>
      <c r="E9" s="119">
        <f>IF('Inputs &amp; Outputs'!$C$8='CRASH RATES'!$D$3, VLOOKUP('Inputs &amp; Outputs'!$C$7,'CRASH RATES'!$C$14:$J$21,3,FALSE), VLOOKUP('Inputs &amp; Outputs'!$C$7,'CRASH RATES'!$C$28:$J$35,3,FALSE))</f>
        <v>1.7455741549787349</v>
      </c>
      <c r="F9" s="85"/>
      <c r="L9" s="106"/>
      <c r="M9" s="11">
        <f t="shared" si="1"/>
        <v>2023</v>
      </c>
      <c r="N9" s="112">
        <f t="shared" si="6"/>
        <v>38751.298144343782</v>
      </c>
      <c r="O9" s="113">
        <f t="shared" si="2"/>
        <v>0.10049905166156181</v>
      </c>
      <c r="P9" s="114">
        <f t="shared" si="3"/>
        <v>0.62420258063066181</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6">
      <c r="A10" s="39" t="s">
        <v>104</v>
      </c>
      <c r="B10" s="118">
        <f>(_2045_Peak_Period_Volume/_2025_Peak_Period_Volume)^(1/(2045-2025))-1</f>
        <v>2.4829983753365203E-2</v>
      </c>
      <c r="D10" s="39" t="s">
        <v>105</v>
      </c>
      <c r="E10" s="119">
        <f>IF('Inputs &amp; Outputs'!$C$8='CRASH RATES'!$D$3, VLOOKUP('Inputs &amp; Outputs'!$C$7,'CRASH RATES'!$C$14:$J$21,4,FALSE), VLOOKUP('Inputs &amp; Outputs'!$C$7,'CRASH RATES'!$C$28:$J$35,4,FALSE))</f>
        <v>8.8235958091989612</v>
      </c>
      <c r="F10" s="85"/>
      <c r="L10" s="106"/>
      <c r="M10" s="107">
        <f t="shared" si="1"/>
        <v>2024</v>
      </c>
      <c r="N10" s="112">
        <f t="shared" si="6"/>
        <v>42645.766858504772</v>
      </c>
      <c r="O10" s="113">
        <f t="shared" si="2"/>
        <v>0.10049905166156181</v>
      </c>
      <c r="P10" s="114">
        <f t="shared" si="3"/>
        <v>0.68692994970661569</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6">
      <c r="A11" s="39" t="s">
        <v>106</v>
      </c>
      <c r="B11" s="118">
        <f>(_2045_Peak_Period_Volume/'Inputs &amp; Outputs'!$C$27)^(1/(2045-2018))-1</f>
        <v>4.3933290252571977E-2</v>
      </c>
      <c r="D11" s="39" t="s">
        <v>107</v>
      </c>
      <c r="E11" s="119">
        <f>IF('Inputs &amp; Outputs'!$C$8='CRASH RATES'!$D$3, VLOOKUP('Inputs &amp; Outputs'!$C$7,'CRASH RATES'!$C$14:$J$21,5,FALSE), VLOOKUP('Inputs &amp; Outputs'!$C$7,'CRASH RATES'!$C$28:$J$35,5,FALSE))</f>
        <v>49.782648723119337</v>
      </c>
      <c r="F11" s="85"/>
      <c r="L11" s="106"/>
      <c r="M11" s="11">
        <f t="shared" si="1"/>
        <v>2025</v>
      </c>
      <c r="N11" s="112">
        <f t="shared" si="6"/>
        <v>46931.625985164566</v>
      </c>
      <c r="O11" s="113">
        <f t="shared" si="2"/>
        <v>0.10049905166156181</v>
      </c>
      <c r="P11" s="114">
        <f t="shared" si="3"/>
        <v>0.75596091789171704</v>
      </c>
      <c r="Q11" s="115">
        <f t="shared" si="4"/>
        <v>1</v>
      </c>
      <c r="R11" s="30">
        <f>IF(M11=Year_Open_to_Traffic?,Calculations!$J$5,Calculations!R10+(Calculations!R10*Calculations!O11*Q11))</f>
        <v>0</v>
      </c>
      <c r="S11" s="45">
        <f t="shared" si="0"/>
        <v>0</v>
      </c>
      <c r="T11" s="30">
        <f t="shared" si="5"/>
        <v>0</v>
      </c>
      <c r="U11" s="31">
        <f>T11/(1+Real_Discount_Rate)^(Calculations!M11-'Assumed Values'!$C$5)</f>
        <v>0</v>
      </c>
    </row>
    <row r="12" spans="1:21" ht="15.6">
      <c r="A12" s="39" t="s">
        <v>108</v>
      </c>
      <c r="B12" s="120">
        <f>'Inputs &amp; Outputs'!C27/_2018_Peak_Period_Capacity</f>
        <v>0.38671507328223748</v>
      </c>
      <c r="D12" s="39" t="s">
        <v>109</v>
      </c>
      <c r="E12" s="119">
        <f>IF('Inputs &amp; Outputs'!$C$8='CRASH RATES'!$D$3, VLOOKUP('Inputs &amp; Outputs'!$C$7,'CRASH RATES'!$C$14:$J$21,6,FALSE), VLOOKUP('Inputs &amp; Outputs'!$C$7,'CRASH RATES'!$C$28:$J$35,6,FALSE))</f>
        <v>124.27924895011503</v>
      </c>
      <c r="F12" s="85"/>
      <c r="L12" s="106"/>
      <c r="M12" s="107">
        <f t="shared" si="1"/>
        <v>2026</v>
      </c>
      <c r="N12" s="112">
        <f t="shared" si="6"/>
        <v>48096.937495895218</v>
      </c>
      <c r="O12" s="113">
        <f t="shared" ref="O12:O36" si="7">IFERROR(_2025_2045_Demand_Growth,_2018_2045_Demand_Growth)</f>
        <v>2.4829983753365203E-2</v>
      </c>
      <c r="P12" s="114">
        <f t="shared" ref="P12:P36" si="8">P11*(1+IFERROR(_2025_2040_V_C_Growth,_2018_2045_V_C_Growth))</f>
        <v>0.77497353016877857</v>
      </c>
      <c r="Q12" s="115">
        <f t="shared" si="4"/>
        <v>1</v>
      </c>
      <c r="R12" s="30">
        <f>IF(M12=Year_Open_to_Traffic?,Calculations!$J$5,Calculations!R11+(Calculations!R11*Calculations!O12*Q12))</f>
        <v>0</v>
      </c>
      <c r="S12" s="45">
        <f t="shared" si="0"/>
        <v>0</v>
      </c>
      <c r="T12" s="30">
        <f t="shared" si="5"/>
        <v>0</v>
      </c>
      <c r="U12" s="31">
        <f>T12/(1+Real_Discount_Rate)^(Calculations!M12-'Assumed Values'!$C$5)</f>
        <v>0</v>
      </c>
    </row>
    <row r="13" spans="1:21" ht="15.6">
      <c r="A13" s="39" t="s">
        <v>110</v>
      </c>
      <c r="B13" s="120">
        <f>_2025_Peak_Period_Volume/_2025_Peak_Period_Capacity</f>
        <v>0.75596091789171749</v>
      </c>
      <c r="D13" s="39" t="s">
        <v>111</v>
      </c>
      <c r="E13" s="119">
        <f>IF('Inputs &amp; Outputs'!$C$8='CRASH RATES'!$D$3, VLOOKUP('Inputs &amp; Outputs'!$C$7,'CRASH RATES'!$C$14:$J$21,7,FALSE), VLOOKUP('Inputs &amp; Outputs'!$C$7,'CRASH RATES'!$C$28:$J$35,7,FALSE))</f>
        <v>963.65828946693784</v>
      </c>
      <c r="F13" s="85"/>
      <c r="L13" s="106"/>
      <c r="M13" s="11">
        <f t="shared" si="1"/>
        <v>2027</v>
      </c>
      <c r="N13" s="112">
        <f t="shared" si="6"/>
        <v>49291.183672504914</v>
      </c>
      <c r="O13" s="113">
        <f t="shared" si="7"/>
        <v>2.4829983753365203E-2</v>
      </c>
      <c r="P13" s="114">
        <f t="shared" si="8"/>
        <v>0.79446431455373945</v>
      </c>
      <c r="Q13" s="115">
        <f t="shared" si="4"/>
        <v>1</v>
      </c>
      <c r="R13" s="30">
        <f>IF(M13=Year_Open_to_Traffic?,Calculations!$J$5,Calculations!R12+(Calculations!R12*Calculations!O13*Q13))</f>
        <v>0</v>
      </c>
      <c r="S13" s="45">
        <f t="shared" si="0"/>
        <v>0</v>
      </c>
      <c r="T13" s="30">
        <f t="shared" si="5"/>
        <v>0</v>
      </c>
      <c r="U13" s="31">
        <f>T13/(1+Real_Discount_Rate)^(Calculations!M13-'Assumed Values'!$C$5)</f>
        <v>0</v>
      </c>
    </row>
    <row r="14" spans="1:21" ht="15.6">
      <c r="A14" s="39" t="s">
        <v>112</v>
      </c>
      <c r="B14" s="120">
        <f>_2045_Peak_Period_Volume/_2045_Peak_Period_Capacity</f>
        <v>1.2423668425562622</v>
      </c>
      <c r="D14" s="39" t="s">
        <v>113</v>
      </c>
      <c r="E14" s="119">
        <f>IF('Inputs &amp; Outputs'!$C$8='CRASH RATES'!$D$3, VLOOKUP('Inputs &amp; Outputs'!$C$7,'CRASH RATES'!$C$14:$J$21,8,FALSE), VLOOKUP('Inputs &amp; Outputs'!$C$7,'CRASH RATES'!$C$28:$J$35,8,FALSE))</f>
        <v>83.618632907852302</v>
      </c>
      <c r="F14" s="85"/>
      <c r="L14" s="106"/>
      <c r="M14" s="107">
        <f>M13+1</f>
        <v>2028</v>
      </c>
      <c r="N14" s="112">
        <f t="shared" si="6"/>
        <v>50515.082962277353</v>
      </c>
      <c r="O14" s="113">
        <f t="shared" si="7"/>
        <v>2.4829983753365203E-2</v>
      </c>
      <c r="P14" s="114">
        <f>P13*(1+IFERROR(_2025_2040_V_C_Growth,_2018_2045_V_C_Growth))</f>
        <v>0.81444529719857939</v>
      </c>
      <c r="Q14" s="115">
        <f t="shared" si="4"/>
        <v>1</v>
      </c>
      <c r="R14" s="30">
        <f>IF(M14=Year_Open_to_Traffic?,Calculations!$J$5,Calculations!R13+(Calculations!R13*Calculations!O14*Q14))</f>
        <v>16488036.940264072</v>
      </c>
      <c r="S14" s="45">
        <f t="shared" si="0"/>
        <v>1</v>
      </c>
      <c r="T14" s="30">
        <f t="shared" si="5"/>
        <v>16488.036940264072</v>
      </c>
      <c r="U14" s="31">
        <f>T14/(1+Real_Discount_Rate)^(Calculations!M14-'Assumed Values'!$C$5)</f>
        <v>8381.6819072743183</v>
      </c>
    </row>
    <row r="15" spans="1:21" ht="15.6">
      <c r="A15" s="39" t="s">
        <v>114</v>
      </c>
      <c r="B15" s="118">
        <f>(B13/B12)^(1/(2025-2018))-1</f>
        <v>0.10049200535598146</v>
      </c>
      <c r="L15" s="106"/>
      <c r="M15" s="11">
        <f>M14+1</f>
        <v>2029</v>
      </c>
      <c r="N15" s="112">
        <f t="shared" si="6"/>
        <v>51769.371651530593</v>
      </c>
      <c r="O15" s="113">
        <f t="shared" si="7"/>
        <v>2.4829983753365203E-2</v>
      </c>
      <c r="P15" s="114">
        <f>P14*(1+IFERROR(_2025_2040_V_C_Growth,_2018_2045_V_C_Growth))</f>
        <v>0.83492880671610548</v>
      </c>
      <c r="Q15" s="115">
        <f t="shared" si="4"/>
        <v>1</v>
      </c>
      <c r="R15" s="30">
        <f>IF(M15=Year_Open_to_Traffic?,Calculations!$J$5,Calculations!R14+(Calculations!R14*Calculations!O15*Q15))</f>
        <v>16897434.629615713</v>
      </c>
      <c r="S15" s="45">
        <f t="shared" si="0"/>
        <v>1</v>
      </c>
      <c r="T15" s="30">
        <f t="shared" si="5"/>
        <v>16897.434629615713</v>
      </c>
      <c r="U15" s="31">
        <f>T15/(1+Real_Discount_Rate)^(Calculations!M15-'Assumed Values'!$C$5)</f>
        <v>8027.8494699605735</v>
      </c>
    </row>
    <row r="16" spans="1:21" ht="15.6">
      <c r="A16" s="39" t="s">
        <v>115</v>
      </c>
      <c r="B16" s="118">
        <f>(B14/B13)^(1/(2045-2025))-1</f>
        <v>2.515025820393646E-2</v>
      </c>
      <c r="D16" s="121" t="s">
        <v>116</v>
      </c>
      <c r="E16" s="57"/>
      <c r="L16" s="106"/>
      <c r="M16" s="107">
        <f t="shared" si="1"/>
        <v>2030</v>
      </c>
      <c r="N16" s="112">
        <f t="shared" si="6"/>
        <v>53054.804308560022</v>
      </c>
      <c r="O16" s="113">
        <f t="shared" si="7"/>
        <v>2.4829983753365203E-2</v>
      </c>
      <c r="P16" s="114">
        <f t="shared" si="8"/>
        <v>0.85592748178692013</v>
      </c>
      <c r="Q16" s="115">
        <f t="shared" si="4"/>
        <v>1</v>
      </c>
      <c r="R16" s="30">
        <f>IF(M16=Year_Open_to_Traffic?,Calculations!$J$5,Calculations!R15+(Calculations!R15*Calculations!O16*Q16))</f>
        <v>17316997.656942621</v>
      </c>
      <c r="S16" s="45">
        <f t="shared" si="0"/>
        <v>1</v>
      </c>
      <c r="T16" s="30">
        <f t="shared" si="5"/>
        <v>17316.997656942622</v>
      </c>
      <c r="U16" s="31">
        <f>T16/(1+Real_Discount_Rate)^(Calculations!M16-'Assumed Values'!$C$5)</f>
        <v>7688.9540578263159</v>
      </c>
    </row>
    <row r="17" spans="1:21" ht="15.6">
      <c r="A17" s="39" t="s">
        <v>117</v>
      </c>
      <c r="B17" s="118">
        <f>(B14/B12)^(1/(2045-2018))-1</f>
        <v>4.4173209741009467E-2</v>
      </c>
      <c r="D17" s="39" t="s">
        <v>118</v>
      </c>
      <c r="E17" s="122">
        <f>($E$6*Death_Rate)/100000000</f>
        <v>1.7997093726459383</v>
      </c>
      <c r="L17" s="106"/>
      <c r="M17" s="11">
        <f t="shared" si="1"/>
        <v>2031</v>
      </c>
      <c r="N17" s="112">
        <f t="shared" si="6"/>
        <v>54372.15423757954</v>
      </c>
      <c r="O17" s="113">
        <f t="shared" si="7"/>
        <v>2.4829983753365203E-2</v>
      </c>
      <c r="P17" s="114">
        <f t="shared" si="8"/>
        <v>0.87745427895770634</v>
      </c>
      <c r="Q17" s="115">
        <f t="shared" si="4"/>
        <v>1</v>
      </c>
      <c r="R17" s="30">
        <f>IF(M17=Year_Open_to_Traffic?,Calculations!$J$5,Calculations!R16+(Calculations!R16*Calculations!O17*Q17))</f>
        <v>17746978.42742157</v>
      </c>
      <c r="S17" s="45">
        <f t="shared" si="0"/>
        <v>1</v>
      </c>
      <c r="T17" s="30">
        <f t="shared" si="5"/>
        <v>17746.978427421571</v>
      </c>
      <c r="U17" s="31">
        <f>T17/(1+Real_Discount_Rate)^(Calculations!M17-'Assumed Values'!$C$5)</f>
        <v>7364.3651048247793</v>
      </c>
    </row>
    <row r="18" spans="1:21" ht="15.6">
      <c r="D18" s="39" t="s">
        <v>119</v>
      </c>
      <c r="E18" s="122">
        <f>($E$6*Incap_Injry_Rate)/100000000</f>
        <v>9.0972406030199551</v>
      </c>
      <c r="L18" s="106"/>
      <c r="M18" s="107">
        <f t="shared" si="1"/>
        <v>2032</v>
      </c>
      <c r="N18" s="112">
        <f t="shared" si="6"/>
        <v>55722.213943934104</v>
      </c>
      <c r="O18" s="113">
        <f t="shared" si="7"/>
        <v>2.4829983753365203E-2</v>
      </c>
      <c r="P18" s="114">
        <f t="shared" si="8"/>
        <v>0.89952248063564155</v>
      </c>
      <c r="Q18" s="115">
        <f t="shared" si="4"/>
        <v>1</v>
      </c>
      <c r="R18" s="30">
        <f>IF(M18=Year_Open_to_Traffic?,Calculations!$J$5,Calculations!R17+(Calculations!R17*Calculations!O18*Q18))</f>
        <v>18187635.61344577</v>
      </c>
      <c r="S18" s="45">
        <f t="shared" si="0"/>
        <v>1</v>
      </c>
      <c r="T18" s="30">
        <f t="shared" si="5"/>
        <v>18187.635613445771</v>
      </c>
      <c r="U18" s="31">
        <f>T18/(1+Real_Discount_Rate)^(Calculations!M18-'Assumed Values'!$C$5)</f>
        <v>7053.47866423498</v>
      </c>
    </row>
    <row r="19" spans="1:21" ht="15.6">
      <c r="D19" s="39" t="s">
        <v>120</v>
      </c>
      <c r="E19" s="122">
        <f>($E$6*Nonincap_Injry_Rate)/100000000</f>
        <v>51.326550205041102</v>
      </c>
      <c r="L19" s="106"/>
      <c r="M19" s="11">
        <f t="shared" si="1"/>
        <v>2033</v>
      </c>
      <c r="N19" s="112">
        <f t="shared" si="6"/>
        <v>57105.795610863526</v>
      </c>
      <c r="O19" s="113">
        <f t="shared" si="7"/>
        <v>2.4829983753365203E-2</v>
      </c>
      <c r="P19" s="114">
        <f t="shared" si="8"/>
        <v>0.92214570328387335</v>
      </c>
      <c r="Q19" s="115">
        <f t="shared" si="4"/>
        <v>1</v>
      </c>
      <c r="R19" s="30">
        <f>IF(M19=Year_Open_to_Traffic?,Calculations!$J$5,Calculations!R18+(Calculations!R18*Calculations!O19*Q19))</f>
        <v>18639234.310239755</v>
      </c>
      <c r="S19" s="45">
        <f t="shared" si="0"/>
        <v>1</v>
      </c>
      <c r="T19" s="30">
        <f t="shared" si="5"/>
        <v>18639.234310239754</v>
      </c>
      <c r="U19" s="31">
        <f>T19/(1+Real_Discount_Rate)^(Calculations!M19-'Assumed Values'!$C$5)</f>
        <v>6755.716284927702</v>
      </c>
    </row>
    <row r="20" spans="1:21" ht="15.6">
      <c r="D20" s="39" t="s">
        <v>121</v>
      </c>
      <c r="E20" s="122">
        <f>($E$6*Poss_Injry_Rate/100000000)</f>
        <v>128.13350181828551</v>
      </c>
      <c r="L20" s="106"/>
      <c r="M20" s="107">
        <f t="shared" si="1"/>
        <v>2034</v>
      </c>
      <c r="N20" s="112">
        <f t="shared" si="6"/>
        <v>58523.73158810426</v>
      </c>
      <c r="O20" s="113">
        <f t="shared" si="7"/>
        <v>2.4829983753365203E-2</v>
      </c>
      <c r="P20" s="114">
        <f t="shared" si="8"/>
        <v>0.94533790582311339</v>
      </c>
      <c r="Q20" s="115">
        <f t="shared" si="4"/>
        <v>1</v>
      </c>
      <c r="R20" s="30">
        <f>IF(M20=Year_Open_to_Traffic?,Calculations!$J$5,Calculations!R19+(Calculations!R19*Calculations!O20*Q20))</f>
        <v>19102046.195338175</v>
      </c>
      <c r="S20" s="45">
        <f t="shared" si="0"/>
        <v>1</v>
      </c>
      <c r="T20" s="30">
        <f t="shared" si="5"/>
        <v>19102.046195338175</v>
      </c>
      <c r="U20" s="31">
        <f>T20/(1+Real_Discount_Rate)^(Calculations!M20-'Assumed Values'!$C$5)</f>
        <v>6470.5239350699094</v>
      </c>
    </row>
    <row r="21" spans="1:21" ht="15.6">
      <c r="D21" s="39" t="s">
        <v>122</v>
      </c>
      <c r="E21" s="122">
        <f>($E$6*Non_Injry_Rate)/100000000</f>
        <v>993.54407295445355</v>
      </c>
      <c r="L21" s="106"/>
      <c r="M21" s="11">
        <f>M20+1</f>
        <v>2035</v>
      </c>
      <c r="N21" s="112">
        <f t="shared" si="6"/>
        <v>59976.874892623193</v>
      </c>
      <c r="O21" s="113">
        <f t="shared" si="7"/>
        <v>2.4829983753365203E-2</v>
      </c>
      <c r="P21" s="114">
        <f>P20*(1+IFERROR(_2025_2040_V_C_Growth,_2018_2045_V_C_Growth))</f>
        <v>0.96911339824453324</v>
      </c>
      <c r="Q21" s="115">
        <f t="shared" si="4"/>
        <v>1</v>
      </c>
      <c r="R21" s="30">
        <f>IF(M21=Year_Open_to_Traffic?,Calculations!$J$5,Calculations!R20+(Calculations!R20*Calculations!O21*Q21))</f>
        <v>19576349.692024454</v>
      </c>
      <c r="S21" s="45">
        <f t="shared" si="0"/>
        <v>1</v>
      </c>
      <c r="T21" s="30">
        <f t="shared" si="5"/>
        <v>19576.349692024454</v>
      </c>
      <c r="U21" s="31">
        <f>T21/(1+Real_Discount_Rate)^(Calculations!M21-'Assumed Values'!$C$5)</f>
        <v>6197.3709712649124</v>
      </c>
    </row>
    <row r="22" spans="1:21" ht="15.6">
      <c r="D22" s="39" t="s">
        <v>123</v>
      </c>
      <c r="E22" s="122">
        <f>($E$6*Unkn_Injry_Rate)/100000000</f>
        <v>86.211884463845763</v>
      </c>
      <c r="L22" s="106"/>
      <c r="M22" s="107">
        <f>M21+1</f>
        <v>2036</v>
      </c>
      <c r="N22" s="112">
        <f t="shared" si="6"/>
        <v>61466.099721784645</v>
      </c>
      <c r="O22" s="113">
        <f t="shared" si="7"/>
        <v>2.4829983753365203E-2</v>
      </c>
      <c r="P22" s="114">
        <f t="shared" si="8"/>
        <v>0.99348685043927754</v>
      </c>
      <c r="Q22" s="115">
        <f t="shared" si="4"/>
        <v>1</v>
      </c>
      <c r="R22" s="30">
        <f>IF(M22=Year_Open_to_Traffic?,Calculations!$J$5,Calculations!R21+(Calculations!R21*Calculations!O22*Q22))</f>
        <v>20062430.136827618</v>
      </c>
      <c r="S22" s="45">
        <f t="shared" si="0"/>
        <v>1</v>
      </c>
      <c r="T22" s="30">
        <f t="shared" si="5"/>
        <v>20062.430136827617</v>
      </c>
      <c r="U22" s="31">
        <f>T22/(1+Real_Discount_Rate)^(Calculations!M22-'Assumed Values'!$C$5)</f>
        <v>5935.7491512102779</v>
      </c>
    </row>
    <row r="23" spans="1:21" ht="15.6">
      <c r="L23" s="106"/>
      <c r="M23" s="11">
        <f t="shared" si="1"/>
        <v>2037</v>
      </c>
      <c r="N23" s="112">
        <f t="shared" si="6"/>
        <v>62992.301979259282</v>
      </c>
      <c r="O23" s="113">
        <f t="shared" si="7"/>
        <v>2.4829983753365203E-2</v>
      </c>
      <c r="P23" s="114">
        <f t="shared" si="8"/>
        <v>1.0184733012500409</v>
      </c>
      <c r="Q23" s="115">
        <f t="shared" si="4"/>
        <v>0</v>
      </c>
      <c r="R23" s="30">
        <f>IF(M23=Year_Open_to_Traffic?,Calculations!$J$5,Calculations!R22+(Calculations!R22*Calculations!O23*Q23))</f>
        <v>20062430.136827618</v>
      </c>
      <c r="S23" s="45">
        <f t="shared" si="0"/>
        <v>1</v>
      </c>
      <c r="T23" s="30">
        <f t="shared" si="5"/>
        <v>20062.430136827617</v>
      </c>
      <c r="U23" s="31">
        <f>T23/(1+Real_Discount_Rate)^(Calculations!M23-'Assumed Values'!$C$5)</f>
        <v>5547.4291132806329</v>
      </c>
    </row>
    <row r="24" spans="1:21" ht="15.6">
      <c r="L24" s="106"/>
      <c r="M24" s="107">
        <f t="shared" si="1"/>
        <v>2038</v>
      </c>
      <c r="N24" s="112">
        <f t="shared" si="6"/>
        <v>64556.399813991367</v>
      </c>
      <c r="O24" s="113">
        <f t="shared" si="7"/>
        <v>2.4829983753365203E-2</v>
      </c>
      <c r="P24" s="114">
        <f t="shared" si="8"/>
        <v>1.0440881677502949</v>
      </c>
      <c r="Q24" s="115">
        <f t="shared" si="4"/>
        <v>0</v>
      </c>
      <c r="R24" s="30">
        <f>IF(M24=Year_Open_to_Traffic?,Calculations!$J$5,Calculations!R23+(Calculations!R23*Calculations!O24*Q24))</f>
        <v>20062430.136827618</v>
      </c>
      <c r="S24" s="45">
        <f t="shared" si="0"/>
        <v>1</v>
      </c>
      <c r="T24" s="30">
        <f t="shared" si="5"/>
        <v>20062.430136827617</v>
      </c>
      <c r="U24" s="31">
        <f>T24/(1+Real_Discount_Rate)^(Calculations!M24-'Assumed Values'!$C$5)</f>
        <v>5184.5131899818998</v>
      </c>
    </row>
    <row r="25" spans="1:21" ht="15.6">
      <c r="A25" s="134" t="s">
        <v>124</v>
      </c>
      <c r="B25" s="134"/>
      <c r="D25" s="101" t="s">
        <v>118</v>
      </c>
      <c r="E25" s="101" t="s">
        <v>119</v>
      </c>
      <c r="F25" s="101" t="s">
        <v>120</v>
      </c>
      <c r="G25" s="101" t="s">
        <v>121</v>
      </c>
      <c r="H25" s="101" t="s">
        <v>122</v>
      </c>
      <c r="I25" s="101" t="s">
        <v>123</v>
      </c>
      <c r="J25" s="135" t="s">
        <v>125</v>
      </c>
      <c r="L25" s="106"/>
      <c r="M25" s="11">
        <f t="shared" si="1"/>
        <v>2039</v>
      </c>
      <c r="N25" s="112">
        <f t="shared" si="6"/>
        <v>66159.334172548522</v>
      </c>
      <c r="O25" s="113">
        <f t="shared" si="7"/>
        <v>2.4829983753365203E-2</v>
      </c>
      <c r="P25" s="114">
        <f t="shared" si="8"/>
        <v>1.0703472547568897</v>
      </c>
      <c r="Q25" s="115">
        <f t="shared" si="4"/>
        <v>0</v>
      </c>
      <c r="R25" s="30">
        <f>IF(M25=Year_Open_to_Traffic?,Calculations!$J$5,Calculations!R24+(Calculations!R24*Calculations!O25*Q25))</f>
        <v>20062430.136827618</v>
      </c>
      <c r="S25" s="45">
        <f t="shared" si="0"/>
        <v>1</v>
      </c>
      <c r="T25" s="30">
        <f t="shared" si="5"/>
        <v>20062.430136827617</v>
      </c>
      <c r="U25" s="31">
        <f>T25/(1+Real_Discount_Rate)^(Calculations!M25-'Assumed Values'!$C$5)</f>
        <v>4845.3394298896264</v>
      </c>
    </row>
    <row r="26" spans="1:21" ht="15.6">
      <c r="A26" s="134"/>
      <c r="B26" s="134"/>
      <c r="D26" s="123">
        <f>Calculations!E17</f>
        <v>1.7997093726459383</v>
      </c>
      <c r="E26" s="123">
        <f>Calculations!E18</f>
        <v>9.0972406030199551</v>
      </c>
      <c r="F26" s="123">
        <f>Calculations!E19</f>
        <v>51.326550205041102</v>
      </c>
      <c r="G26" s="123">
        <f>Calculations!E20</f>
        <v>128.13350181828551</v>
      </c>
      <c r="H26" s="123">
        <f>Calculations!E21</f>
        <v>993.54407295445355</v>
      </c>
      <c r="I26" s="123">
        <f>Calculations!E22</f>
        <v>86.211884463845763</v>
      </c>
      <c r="J26" s="135"/>
      <c r="L26" s="106"/>
      <c r="M26" s="107">
        <f t="shared" si="1"/>
        <v>2040</v>
      </c>
      <c r="N26" s="112">
        <f t="shared" si="6"/>
        <v>67802.069365186355</v>
      </c>
      <c r="O26" s="113">
        <f t="shared" si="7"/>
        <v>2.4829983753365203E-2</v>
      </c>
      <c r="P26" s="114">
        <f t="shared" si="8"/>
        <v>1.0972667645819001</v>
      </c>
      <c r="Q26" s="115">
        <f t="shared" si="4"/>
        <v>0</v>
      </c>
      <c r="R26" s="30">
        <f>IF(M26=Year_Open_to_Traffic?,Calculations!$J$5,Calculations!R25+(Calculations!R25*Calculations!O26*Q26))</f>
        <v>20062430.136827618</v>
      </c>
      <c r="S26" s="45">
        <f t="shared" si="0"/>
        <v>1</v>
      </c>
      <c r="T26" s="30">
        <f t="shared" si="5"/>
        <v>20062.430136827617</v>
      </c>
      <c r="U26" s="31">
        <f>T26/(1+Real_Discount_Rate)^(Calculations!M26-'Assumed Values'!$C$5)</f>
        <v>4528.3546073734824</v>
      </c>
    </row>
    <row r="27" spans="1:21" ht="15.6">
      <c r="A27" s="38" t="s">
        <v>126</v>
      </c>
      <c r="B27" s="39" t="s">
        <v>127</v>
      </c>
      <c r="D27" s="124">
        <f>D$26*'Value of Statistical Life'!D17*Appropriate_Crash_Reduction_Factor</f>
        <v>0</v>
      </c>
      <c r="E27" s="124">
        <f>E$26*'Value of Statistical Life'!E17*Appropriate_Crash_Reduction_Factor</f>
        <v>9.3801647857738757E-2</v>
      </c>
      <c r="F27" s="124">
        <f>F$26*'Value of Statistical Life'!F17*Appropriate_Crash_Reduction_Factor</f>
        <v>1.2852681436844342</v>
      </c>
      <c r="G27" s="124">
        <f>G$26*'Value of Statistical Life'!G17*Appropriate_Crash_Reduction_Factor</f>
        <v>9.0091946463454722</v>
      </c>
      <c r="H27" s="124">
        <f>H$26*'Value of Statistical Life'!H17*Appropriate_Crash_Reduction_Factor</f>
        <v>275.80982174030225</v>
      </c>
      <c r="I27" s="124">
        <f>I$26*'Value of Statistical Life'!I17*Appropriate_Crash_Reduction_Factor</f>
        <v>11.296170797528783</v>
      </c>
      <c r="J27" s="124">
        <f t="shared" ref="J27:J33" si="9">SUM(D27:I27)</f>
        <v>297.49425697571866</v>
      </c>
      <c r="K27" s="69"/>
      <c r="L27" s="106"/>
      <c r="M27" s="11">
        <f t="shared" si="1"/>
        <v>2041</v>
      </c>
      <c r="N27" s="112">
        <f t="shared" si="6"/>
        <v>69485.593645968474</v>
      </c>
      <c r="O27" s="113">
        <f t="shared" si="7"/>
        <v>2.4829983753365203E-2</v>
      </c>
      <c r="P27" s="114">
        <f t="shared" si="8"/>
        <v>1.1248633070297329</v>
      </c>
      <c r="Q27" s="115">
        <f t="shared" si="4"/>
        <v>0</v>
      </c>
      <c r="R27" s="30">
        <f>IF(M27=Year_Open_to_Traffic?,Calculations!$J$5,Calculations!R26+(Calculations!R26*Calculations!O27*Q27))</f>
        <v>20062430.136827618</v>
      </c>
      <c r="S27" s="45">
        <f t="shared" si="0"/>
        <v>1</v>
      </c>
      <c r="T27" s="30">
        <f t="shared" si="5"/>
        <v>20062.430136827617</v>
      </c>
      <c r="U27" s="31">
        <f>T27/(1+Real_Discount_Rate)^(Calculations!M27-'Assumed Values'!$C$5)</f>
        <v>4232.1071096948435</v>
      </c>
    </row>
    <row r="28" spans="1:21" ht="15.6">
      <c r="A28" s="38" t="s">
        <v>128</v>
      </c>
      <c r="B28" s="39" t="s">
        <v>129</v>
      </c>
      <c r="D28" s="124">
        <f>D$26*'Value of Statistical Life'!D18*Appropriate_Crash_Reduction_Factor</f>
        <v>0</v>
      </c>
      <c r="E28" s="124">
        <f>E$26*'Value of Statistical Life'!E18*Appropriate_Crash_Reduction_Factor</f>
        <v>1.5132986825905606</v>
      </c>
      <c r="F28" s="124">
        <f>F$26*'Value of Statistical Life'!F18*Appropriate_Crash_Reduction_Factor</f>
        <v>11.832258292217919</v>
      </c>
      <c r="G28" s="124">
        <f>G$26*'Value of Statistical Life'!G18*Appropriate_Crash_Reduction_Factor</f>
        <v>26.502877249090535</v>
      </c>
      <c r="H28" s="124">
        <f>H$26*'Value of Statistical Life'!H18*Appropriate_Crash_Reduction_Factor</f>
        <v>21.630448012291406</v>
      </c>
      <c r="I28" s="124">
        <f>I$26*'Value of Statistical Life'!I18*Appropriate_Crash_Reduction_Factor</f>
        <v>10.795193536909375</v>
      </c>
      <c r="J28" s="124">
        <f t="shared" si="9"/>
        <v>72.274075773099796</v>
      </c>
      <c r="K28" s="69"/>
      <c r="L28" s="106"/>
      <c r="M28" s="107">
        <f t="shared" si="1"/>
        <v>2042</v>
      </c>
      <c r="N28" s="112">
        <f t="shared" si="6"/>
        <v>71210.919807290804</v>
      </c>
      <c r="O28" s="113">
        <f t="shared" si="7"/>
        <v>2.4829983753365203E-2</v>
      </c>
      <c r="P28" s="114">
        <f t="shared" si="8"/>
        <v>1.1531539096456647</v>
      </c>
      <c r="Q28" s="115">
        <f t="shared" si="4"/>
        <v>0</v>
      </c>
      <c r="R28" s="30">
        <f>IF(M28=Year_Open_to_Traffic?,Calculations!$J$5,Calculations!R27+(Calculations!R27*Calculations!O28*Q28))</f>
        <v>20062430.136827618</v>
      </c>
      <c r="S28" s="45">
        <f t="shared" si="0"/>
        <v>1</v>
      </c>
      <c r="T28" s="30">
        <f t="shared" si="5"/>
        <v>20062.430136827617</v>
      </c>
      <c r="U28" s="31">
        <f>T28/(1+Real_Discount_Rate)^(Calculations!M28-'Assumed Values'!$C$5)</f>
        <v>3955.2402894344327</v>
      </c>
    </row>
    <row r="29" spans="1:21" ht="15.6">
      <c r="A29" s="38" t="s">
        <v>130</v>
      </c>
      <c r="B29" s="39" t="s">
        <v>131</v>
      </c>
      <c r="D29" s="124">
        <f>D$26*'Value of Statistical Life'!D19*Appropriate_Crash_Reduction_Factor</f>
        <v>0</v>
      </c>
      <c r="E29" s="124">
        <f>E$26*'Value of Statistical Life'!E19*Appropriate_Crash_Reduction_Factor</f>
        <v>0.57061531958382361</v>
      </c>
      <c r="F29" s="124">
        <f>F$26*'Value of Statistical Life'!F19*Appropriate_Crash_Reduction_Factor</f>
        <v>1.6780702324036136</v>
      </c>
      <c r="G29" s="124">
        <f>G$26*'Value of Statistical Life'!G19*Appropriate_Crash_Reduction_Factor</f>
        <v>2.456703630361988</v>
      </c>
      <c r="H29" s="124">
        <f>H$26*'Value of Statistical Life'!H19*Appropriate_Crash_Reduction_Factor</f>
        <v>0.59016517933494539</v>
      </c>
      <c r="I29" s="124">
        <f>I$26*'Value of Statistical Life'!I19*Appropriate_Crash_Reduction_Factor</f>
        <v>2.2946155168897184</v>
      </c>
      <c r="J29" s="124">
        <f t="shared" si="9"/>
        <v>7.5901698785740894</v>
      </c>
      <c r="K29" s="69"/>
      <c r="L29" s="106"/>
      <c r="M29" s="11">
        <f t="shared" si="1"/>
        <v>2043</v>
      </c>
      <c r="N29" s="112">
        <f t="shared" si="6"/>
        <v>72979.085789168021</v>
      </c>
      <c r="O29" s="113">
        <f t="shared" si="7"/>
        <v>2.4829983753365203E-2</v>
      </c>
      <c r="P29" s="114">
        <f t="shared" si="8"/>
        <v>1.1821560282221319</v>
      </c>
      <c r="Q29" s="115">
        <f t="shared" si="4"/>
        <v>0</v>
      </c>
      <c r="R29" s="30">
        <f>IF(M29=Year_Open_to_Traffic?,Calculations!$J$5,Calculations!R28+(Calculations!R28*Calculations!O29*Q29))</f>
        <v>20062430.136827618</v>
      </c>
      <c r="S29" s="45">
        <f t="shared" si="0"/>
        <v>1</v>
      </c>
      <c r="T29" s="30">
        <f t="shared" si="5"/>
        <v>20062.430136827617</v>
      </c>
      <c r="U29" s="31">
        <f>T29/(1+Real_Discount_Rate)^(Calculations!M29-'Assumed Values'!$C$5)</f>
        <v>3696.4862518078808</v>
      </c>
    </row>
    <row r="30" spans="1:21" ht="15.6">
      <c r="A30" s="38" t="s">
        <v>132</v>
      </c>
      <c r="B30" s="39" t="s">
        <v>133</v>
      </c>
      <c r="D30" s="124">
        <f>D$26*'Value of Statistical Life'!D20*Appropriate_Crash_Reduction_Factor</f>
        <v>0</v>
      </c>
      <c r="E30" s="124">
        <f>E$26*'Value of Statistical Life'!E20*Appropriate_Crash_Reduction_Factor</f>
        <v>0.39401058775739722</v>
      </c>
      <c r="F30" s="124">
        <f>F$26*'Value of Statistical Life'!F20*Appropriate_Crash_Reduction_Factor</f>
        <v>0.49134906511285847</v>
      </c>
      <c r="G30" s="124">
        <f>G$26*'Value of Statistical Life'!G20*Appropriate_Crash_Reduction_Factor</f>
        <v>0.4116929413421514</v>
      </c>
      <c r="H30" s="124">
        <f>H$26*'Value of Statistical Life'!H20*Appropriate_Crash_Reduction_Factor</f>
        <v>2.3845057750906885E-2</v>
      </c>
      <c r="I30" s="124">
        <f>I$26*'Value of Statistical Life'!I20*Appropriate_Crash_Reduction_Factor</f>
        <v>1.245847942387035</v>
      </c>
      <c r="J30" s="124">
        <f t="shared" si="9"/>
        <v>2.566745594350349</v>
      </c>
      <c r="K30" s="69"/>
      <c r="L30" s="106"/>
      <c r="M30" s="11">
        <f t="shared" si="1"/>
        <v>2044</v>
      </c>
      <c r="N30" s="112">
        <f t="shared" si="6"/>
        <v>74791.155303648513</v>
      </c>
      <c r="O30" s="113">
        <f t="shared" si="7"/>
        <v>2.4829983753365203E-2</v>
      </c>
      <c r="P30" s="114">
        <f t="shared" si="8"/>
        <v>1.2118875575692585</v>
      </c>
      <c r="Q30" s="115">
        <f t="shared" si="4"/>
        <v>0</v>
      </c>
      <c r="R30" s="30">
        <f>IF(M30=Year_Open_to_Traffic?,Calculations!$J$5,Calculations!R29+(Calculations!R29*Calculations!O30*Q30))</f>
        <v>20062430.136827618</v>
      </c>
      <c r="S30" s="45">
        <f t="shared" si="0"/>
        <v>1</v>
      </c>
      <c r="T30" s="30">
        <f t="shared" si="5"/>
        <v>20062.430136827617</v>
      </c>
      <c r="U30" s="31">
        <f>T30/(1+Real_Discount_Rate)^(Calculations!M30-'Assumed Values'!$C$5)</f>
        <v>3454.6600484185806</v>
      </c>
    </row>
    <row r="31" spans="1:21" ht="15.6">
      <c r="A31" s="38" t="s">
        <v>134</v>
      </c>
      <c r="B31" s="39" t="s">
        <v>135</v>
      </c>
      <c r="D31" s="124">
        <f>D$26*'Value of Statistical Life'!D21*Appropriate_Crash_Reduction_Factor</f>
        <v>0</v>
      </c>
      <c r="E31" s="124">
        <f>E$26*'Value of Statistical Life'!E21*Appropriate_Crash_Reduction_Factor</f>
        <v>0.10878480313091263</v>
      </c>
      <c r="F31" s="124">
        <f>F$26*'Value of Statistical Life'!F21*Appropriate_Crash_Reduction_Factor</f>
        <v>9.5467383381376447E-2</v>
      </c>
      <c r="G31" s="124">
        <f>G$26*'Value of Statistical Life'!G21*Appropriate_Crash_Reduction_Factor</f>
        <v>5.4584871774589629E-2</v>
      </c>
      <c r="H31" s="124">
        <f>H$26*'Value of Statistical Life'!H21*Appropriate_Crash_Reduction_Factor</f>
        <v>0</v>
      </c>
      <c r="I31" s="124">
        <f>I$26*'Value of Statistical Life'!I21*Appropriate_Crash_Reduction_Factor</f>
        <v>0.15957819814257851</v>
      </c>
      <c r="J31" s="124">
        <f t="shared" si="9"/>
        <v>0.41841525642945721</v>
      </c>
      <c r="K31" s="69"/>
      <c r="L31" s="106"/>
      <c r="M31" s="11">
        <f t="shared" si="1"/>
        <v>2045</v>
      </c>
      <c r="N31" s="112">
        <f t="shared" si="6"/>
        <v>76648.218474733512</v>
      </c>
      <c r="O31" s="113">
        <f t="shared" si="7"/>
        <v>2.4829983753365203E-2</v>
      </c>
      <c r="P31" s="114">
        <f t="shared" si="8"/>
        <v>1.2423668425562633</v>
      </c>
      <c r="Q31" s="115">
        <f t="shared" si="4"/>
        <v>0</v>
      </c>
      <c r="R31" s="30">
        <f>IF(M31=Year_Open_to_Traffic?,Calculations!$J$5,Calculations!R30+(Calculations!R30*Calculations!O31*Q31))</f>
        <v>20062430.136827618</v>
      </c>
      <c r="S31" s="45">
        <f t="shared" si="0"/>
        <v>1</v>
      </c>
      <c r="T31" s="30">
        <f t="shared" si="5"/>
        <v>20062.430136827617</v>
      </c>
      <c r="U31" s="31">
        <f>T31/(1+Real_Discount_Rate)^(Calculations!M31-'Assumed Values'!$C$5)</f>
        <v>3228.6542508584857</v>
      </c>
    </row>
    <row r="32" spans="1:21" ht="15.6">
      <c r="A32" s="38" t="s">
        <v>136</v>
      </c>
      <c r="B32" s="39" t="s">
        <v>137</v>
      </c>
      <c r="D32" s="124">
        <f>D$26*'Value of Statistical Life'!D22*Appropriate_Crash_Reduction_Factor</f>
        <v>0</v>
      </c>
      <c r="E32" s="124">
        <f>E$26*'Value of Statistical Life'!E22*Appropriate_Crash_Reduction_Factor</f>
        <v>4.8661139985553735E-2</v>
      </c>
      <c r="F32" s="124">
        <f>F$26*'Value of Statistical Life'!F22*Appropriate_Crash_Reduction_Factor</f>
        <v>1.5551944712127454E-2</v>
      </c>
      <c r="G32" s="124">
        <f>G$26*'Value of Statistical Life'!G22*Appropriate_Crash_Reduction_Factor</f>
        <v>4.9972065709131342E-3</v>
      </c>
      <c r="H32" s="124">
        <f>H$26*'Value of Statistical Life'!H22*Appropriate_Crash_Reduction_Factor</f>
        <v>8.9418966565900822E-3</v>
      </c>
      <c r="I32" s="124">
        <f>I$26*'Value of Statistical Life'!I22*Appropriate_Crash_Reduction_Factor</f>
        <v>7.2159347296238893E-2</v>
      </c>
      <c r="J32" s="124">
        <f t="shared" si="9"/>
        <v>0.15031153522142332</v>
      </c>
      <c r="K32" s="69"/>
      <c r="L32" s="106"/>
      <c r="M32" s="11">
        <f t="shared" si="1"/>
        <v>2046</v>
      </c>
      <c r="N32" s="112">
        <f t="shared" si="6"/>
        <v>78551.392494185537</v>
      </c>
      <c r="O32" s="113">
        <f t="shared" si="7"/>
        <v>2.4829983753365203E-2</v>
      </c>
      <c r="P32" s="114">
        <f t="shared" si="8"/>
        <v>1.2736126894305626</v>
      </c>
      <c r="Q32" s="115">
        <f t="shared" si="4"/>
        <v>0</v>
      </c>
      <c r="R32" s="30">
        <f>IF(M32=Year_Open_to_Traffic?,Calculations!$J$5,Calculations!R31+(Calculations!R31*Calculations!O32*Q32))</f>
        <v>20062430.136827618</v>
      </c>
      <c r="S32" s="45">
        <f t="shared" si="0"/>
        <v>1</v>
      </c>
      <c r="T32" s="30">
        <f t="shared" si="5"/>
        <v>20062.430136827617</v>
      </c>
      <c r="U32" s="31">
        <f>T32/(1+Real_Discount_Rate)^(Calculations!M32-'Assumed Values'!$C$5)</f>
        <v>3017.4338793069969</v>
      </c>
    </row>
    <row r="33" spans="1:21" ht="15.6">
      <c r="A33" s="38" t="s">
        <v>138</v>
      </c>
      <c r="B33" s="39" t="s">
        <v>139</v>
      </c>
      <c r="D33" s="124">
        <f>D$26*'Value of Statistical Life'!D23*Appropriate_Crash_Reduction_Factor</f>
        <v>0.53991281179378148</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0.53991281179378148</v>
      </c>
      <c r="K33" s="69"/>
      <c r="L33" s="106"/>
      <c r="M33" s="11">
        <f t="shared" si="1"/>
        <v>2047</v>
      </c>
      <c r="N33" s="112">
        <f t="shared" si="6"/>
        <v>80501.822293620382</v>
      </c>
      <c r="O33" s="113">
        <f t="shared" si="7"/>
        <v>2.4829983753365203E-2</v>
      </c>
      <c r="P33" s="114">
        <f t="shared" si="8"/>
        <v>1.3056443774215511</v>
      </c>
      <c r="Q33" s="115">
        <f t="shared" si="4"/>
        <v>0</v>
      </c>
      <c r="R33" s="30">
        <f>IF(M33=Year_Open_to_Traffic?,Calculations!$J$5,Calculations!R32+(Calculations!R32*Calculations!O33*Q33))</f>
        <v>20062430.136827618</v>
      </c>
      <c r="S33" s="45">
        <f t="shared" si="0"/>
        <v>1</v>
      </c>
      <c r="T33" s="30">
        <f t="shared" si="5"/>
        <v>20062.430136827617</v>
      </c>
      <c r="U33" s="31">
        <f>T33/(1+Real_Discount_Rate)^(Calculations!M33-'Assumed Values'!$C$5)</f>
        <v>2820.0316629037352</v>
      </c>
    </row>
    <row r="34" spans="1:21" ht="15.6">
      <c r="J34" s="125"/>
      <c r="L34" s="106"/>
      <c r="M34" s="11">
        <f t="shared" si="1"/>
        <v>2048</v>
      </c>
      <c r="N34" s="112">
        <f t="shared" si="6"/>
        <v>82500.681233287265</v>
      </c>
      <c r="O34" s="113">
        <f t="shared" si="7"/>
        <v>2.4829983753365203E-2</v>
      </c>
      <c r="P34" s="114">
        <f t="shared" si="8"/>
        <v>1.338481670636221</v>
      </c>
      <c r="Q34" s="115">
        <f t="shared" si="4"/>
        <v>0</v>
      </c>
      <c r="R34" s="30">
        <f>IF(M34=Year_Open_to_Traffic?,Calculations!$J$5,Calculations!R33+(Calculations!R33*Calculations!O34*Q34))</f>
        <v>20062430.136827618</v>
      </c>
      <c r="S34" s="45">
        <f t="shared" si="0"/>
        <v>0</v>
      </c>
      <c r="T34" s="30">
        <f t="shared" si="5"/>
        <v>0</v>
      </c>
      <c r="U34" s="31">
        <f>T34/(1+Real_Discount_Rate)^(Calculations!M34-'Assumed Values'!$C$5)</f>
        <v>0</v>
      </c>
    </row>
    <row r="35" spans="1:21" ht="15.6">
      <c r="G35" s="41"/>
      <c r="H35" s="41"/>
      <c r="L35" s="106"/>
      <c r="M35" s="11">
        <f t="shared" si="1"/>
        <v>2049</v>
      </c>
      <c r="N35" s="112">
        <f t="shared" si="6"/>
        <v>84549.171807951352</v>
      </c>
      <c r="O35" s="113">
        <f t="shared" si="7"/>
        <v>2.4829983753365203E-2</v>
      </c>
      <c r="P35" s="114">
        <f t="shared" si="8"/>
        <v>1.3721448302539583</v>
      </c>
      <c r="Q35" s="115">
        <f t="shared" si="4"/>
        <v>0</v>
      </c>
      <c r="R35" s="30">
        <f>IF(M35=Year_Open_to_Traffic?,Calculations!$J$5,Calculations!R34+(Calculations!R34*Calculations!O35*Q35))</f>
        <v>20062430.136827618</v>
      </c>
      <c r="S35" s="45">
        <f t="shared" si="0"/>
        <v>0</v>
      </c>
      <c r="T35" s="30">
        <f t="shared" si="5"/>
        <v>0</v>
      </c>
      <c r="U35" s="31">
        <f>T35/(1+Real_Discount_Rate)^(Calculations!M35-'Assumed Values'!$C$5)</f>
        <v>0</v>
      </c>
    </row>
    <row r="36" spans="1:21" ht="15.6">
      <c r="G36" s="41"/>
      <c r="H36" s="41"/>
      <c r="L36" s="106"/>
      <c r="M36" s="11">
        <f t="shared" si="1"/>
        <v>2050</v>
      </c>
      <c r="N36" s="112">
        <f t="shared" si="6"/>
        <v>86648.526370303269</v>
      </c>
      <c r="O36" s="113">
        <f t="shared" si="7"/>
        <v>2.4829983753365203E-2</v>
      </c>
      <c r="P36" s="114">
        <f t="shared" si="8"/>
        <v>1.406654627028042</v>
      </c>
      <c r="Q36" s="115">
        <f t="shared" si="4"/>
        <v>0</v>
      </c>
      <c r="R36" s="30">
        <f>IF(M36=Year_Open_to_Traffic?,Calculations!$J$5,Calculations!R35+(Calculations!R35*Calculations!O36*Q36))</f>
        <v>20062430.136827618</v>
      </c>
      <c r="S36" s="45">
        <f t="shared" si="0"/>
        <v>0</v>
      </c>
      <c r="T36" s="30">
        <f t="shared" si="5"/>
        <v>0</v>
      </c>
      <c r="U36" s="31">
        <f>T36/(1+Real_Discount_Rate)^(Calculations!M36-'Assumed Values'!$C$5)</f>
        <v>0</v>
      </c>
    </row>
    <row r="37" spans="1:21">
      <c r="M37" s="39"/>
      <c r="N37" s="39"/>
      <c r="O37" s="118"/>
      <c r="P37" s="120"/>
      <c r="Q37" s="39"/>
      <c r="R37" s="39"/>
      <c r="S37" s="39"/>
      <c r="T37" s="39"/>
      <c r="U37" s="31">
        <f>SUM(U4:U36)</f>
        <v>108385.93937954435</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1" t="s">
        <v>140</v>
      </c>
    </row>
    <row r="4" spans="2:3">
      <c r="B4" s="1" t="s">
        <v>141</v>
      </c>
    </row>
    <row r="5" spans="2:3">
      <c r="B5" s="23" t="s">
        <v>142</v>
      </c>
      <c r="C5" s="23">
        <v>2018</v>
      </c>
    </row>
    <row r="6" spans="2:3">
      <c r="B6" s="23" t="s">
        <v>143</v>
      </c>
      <c r="C6" s="37">
        <v>7.0000000000000007E-2</v>
      </c>
    </row>
    <row r="7" spans="2:3">
      <c r="B7" s="21"/>
      <c r="C7" s="76"/>
    </row>
    <row r="8" spans="2:3">
      <c r="B8" s="21"/>
      <c r="C8" s="77"/>
    </row>
    <row r="9" spans="2:3">
      <c r="C9" s="22"/>
    </row>
    <row r="10" spans="2:3">
      <c r="B10" s="1" t="s">
        <v>144</v>
      </c>
      <c r="C10" s="22"/>
    </row>
    <row r="11" spans="2:3">
      <c r="B11" s="23" t="s">
        <v>145</v>
      </c>
      <c r="C11" s="51">
        <f>'Value of Statistical Life'!E11</f>
        <v>9600000</v>
      </c>
    </row>
    <row r="12" spans="2:3">
      <c r="B12" s="138" t="s">
        <v>146</v>
      </c>
      <c r="C12" s="139"/>
    </row>
    <row r="14" spans="2:3" hidden="1">
      <c r="B14" s="1" t="s">
        <v>147</v>
      </c>
      <c r="C14" s="22"/>
    </row>
    <row r="15" spans="2:3" hidden="1">
      <c r="B15" s="23" t="s">
        <v>148</v>
      </c>
      <c r="C15" s="25" t="e">
        <f>#REF!</f>
        <v>#REF!</v>
      </c>
    </row>
    <row r="16" spans="2:3" hidden="1">
      <c r="B16" s="39" t="s">
        <v>149</v>
      </c>
      <c r="C16" s="42">
        <v>1.2E-2</v>
      </c>
    </row>
    <row r="17" spans="2:3" hidden="1"/>
    <row r="18" spans="2:3" hidden="1">
      <c r="B18" s="1" t="s">
        <v>150</v>
      </c>
    </row>
    <row r="19" spans="2:3" hidden="1">
      <c r="B19" s="23" t="s">
        <v>151</v>
      </c>
      <c r="C19" s="50" t="e">
        <f>#REF!</f>
        <v>#REF!</v>
      </c>
    </row>
    <row r="20" spans="2:3" hidden="1">
      <c r="B20" s="23" t="s">
        <v>152</v>
      </c>
      <c r="C20" s="50" t="e">
        <f>#REF!</f>
        <v>#REF!</v>
      </c>
    </row>
    <row r="21" spans="2:3" hidden="1">
      <c r="B21" s="23" t="s">
        <v>153</v>
      </c>
      <c r="C21" s="24">
        <f>(0.267383+0.37942)/2</f>
        <v>0.32340150000000001</v>
      </c>
    </row>
    <row r="22" spans="2:3" hidden="1">
      <c r="B22" s="23" t="s">
        <v>154</v>
      </c>
      <c r="C22" s="24">
        <f>(0.183428+0.198698)/2</f>
        <v>0.19106300000000001</v>
      </c>
    </row>
    <row r="23" spans="2:3" ht="72.599999999999994" hidden="1">
      <c r="B23" s="23" t="s">
        <v>155</v>
      </c>
      <c r="C23" s="48" t="s">
        <v>156</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4.4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157</v>
      </c>
    </row>
    <row r="2" spans="3:24">
      <c r="C2" t="s">
        <v>49</v>
      </c>
      <c r="D2" t="s">
        <v>52</v>
      </c>
      <c r="G2" s="39" t="s">
        <v>158</v>
      </c>
      <c r="H2" s="127" t="s">
        <v>159</v>
      </c>
      <c r="Q2" s="86"/>
      <c r="R2" s="85"/>
      <c r="S2" s="85"/>
      <c r="T2" s="85"/>
      <c r="U2" s="85"/>
      <c r="V2" s="85"/>
      <c r="W2" s="85"/>
      <c r="X2" s="85"/>
    </row>
    <row r="3" spans="3:24">
      <c r="C3" t="s">
        <v>160</v>
      </c>
      <c r="D3" t="s">
        <v>161</v>
      </c>
      <c r="G3" s="39" t="s">
        <v>162</v>
      </c>
      <c r="H3" s="127" t="s">
        <v>163</v>
      </c>
      <c r="Q3" s="86"/>
      <c r="R3" s="85"/>
      <c r="S3" s="85"/>
      <c r="T3" s="85"/>
      <c r="U3" s="85"/>
      <c r="V3" s="85"/>
      <c r="W3" s="85"/>
      <c r="X3" s="85"/>
    </row>
    <row r="4" spans="3:24">
      <c r="C4" t="s">
        <v>164</v>
      </c>
      <c r="D4" t="s">
        <v>53</v>
      </c>
      <c r="G4" s="39" t="s">
        <v>165</v>
      </c>
      <c r="H4" s="127" t="s">
        <v>166</v>
      </c>
      <c r="Q4" s="86"/>
      <c r="R4" s="85"/>
      <c r="S4" s="85"/>
      <c r="T4" s="85"/>
      <c r="U4" s="85"/>
      <c r="V4" s="85"/>
      <c r="W4" s="85"/>
      <c r="X4" s="85"/>
    </row>
    <row r="5" spans="3:24">
      <c r="C5" t="s">
        <v>167</v>
      </c>
      <c r="G5" s="39" t="s">
        <v>168</v>
      </c>
      <c r="H5" s="127" t="s">
        <v>169</v>
      </c>
      <c r="Q5" s="86"/>
      <c r="R5" s="85"/>
      <c r="S5" s="85"/>
      <c r="T5" s="85"/>
      <c r="U5" s="85"/>
      <c r="V5" s="85"/>
      <c r="W5" s="85"/>
      <c r="X5" s="85"/>
    </row>
    <row r="6" spans="3:24">
      <c r="C6" t="s">
        <v>170</v>
      </c>
      <c r="G6" s="39" t="s">
        <v>171</v>
      </c>
      <c r="H6" s="127" t="s">
        <v>172</v>
      </c>
      <c r="Q6" s="86"/>
      <c r="R6" s="85"/>
      <c r="S6" s="85"/>
      <c r="T6" s="85"/>
      <c r="U6" s="85"/>
      <c r="V6" s="85"/>
      <c r="W6" s="85"/>
      <c r="X6" s="85"/>
    </row>
    <row r="7" spans="3:24">
      <c r="C7" t="s">
        <v>50</v>
      </c>
      <c r="G7" s="39" t="s">
        <v>173</v>
      </c>
      <c r="H7" s="127" t="s">
        <v>174</v>
      </c>
      <c r="Q7" s="86"/>
      <c r="R7" s="85"/>
      <c r="S7" s="85"/>
      <c r="T7" s="85"/>
      <c r="U7" s="85"/>
      <c r="V7" s="85"/>
      <c r="W7" s="85"/>
      <c r="X7" s="85"/>
    </row>
    <row r="8" spans="3:24">
      <c r="C8" t="s">
        <v>175</v>
      </c>
      <c r="Q8" s="86"/>
      <c r="R8" s="85"/>
      <c r="S8" s="85"/>
      <c r="T8" s="85"/>
      <c r="U8" s="85"/>
      <c r="V8" s="85"/>
      <c r="W8" s="85"/>
      <c r="X8" s="85"/>
    </row>
    <row r="9" spans="3:24">
      <c r="C9" t="s">
        <v>176</v>
      </c>
      <c r="Q9" s="86"/>
      <c r="R9" s="85"/>
      <c r="S9" s="85"/>
      <c r="T9" s="85"/>
      <c r="U9" s="85"/>
      <c r="V9" s="85"/>
      <c r="W9" s="85"/>
      <c r="X9" s="85"/>
    </row>
    <row r="10" spans="3:24">
      <c r="C10" t="s">
        <v>177</v>
      </c>
      <c r="N10" s="85"/>
      <c r="O10" s="85"/>
      <c r="P10" s="85"/>
      <c r="Q10" s="85"/>
      <c r="R10" s="85"/>
      <c r="S10" s="85"/>
      <c r="T10" s="85"/>
    </row>
    <row r="12" spans="3:24">
      <c r="C12" t="s">
        <v>178</v>
      </c>
      <c r="Q12" t="s">
        <v>179</v>
      </c>
      <c r="S12" s="140"/>
      <c r="T12" s="140"/>
      <c r="U12" s="140"/>
      <c r="V12" s="140"/>
      <c r="W12" s="140"/>
      <c r="X12" s="140"/>
    </row>
    <row r="13" spans="3:24">
      <c r="C13" s="54" t="s">
        <v>49</v>
      </c>
      <c r="D13" s="54" t="s">
        <v>180</v>
      </c>
      <c r="E13" s="54" t="s">
        <v>158</v>
      </c>
      <c r="F13" s="54" t="s">
        <v>162</v>
      </c>
      <c r="G13" s="54" t="s">
        <v>165</v>
      </c>
      <c r="H13" s="54" t="s">
        <v>168</v>
      </c>
      <c r="I13" s="54" t="s">
        <v>171</v>
      </c>
      <c r="J13" s="54" t="s">
        <v>173</v>
      </c>
      <c r="M13" s="39" t="s">
        <v>181</v>
      </c>
      <c r="N13" s="39" t="s">
        <v>182</v>
      </c>
      <c r="O13" s="39" t="s">
        <v>183</v>
      </c>
      <c r="Q13" s="62" t="s">
        <v>49</v>
      </c>
      <c r="R13" s="62" t="s">
        <v>184</v>
      </c>
      <c r="S13" s="62" t="s">
        <v>158</v>
      </c>
      <c r="T13" s="62" t="s">
        <v>162</v>
      </c>
      <c r="U13" s="62" t="s">
        <v>165</v>
      </c>
      <c r="V13" s="62" t="s">
        <v>168</v>
      </c>
      <c r="W13" s="62" t="s">
        <v>171</v>
      </c>
      <c r="X13" s="62" t="s">
        <v>173</v>
      </c>
    </row>
    <row r="14" spans="3:24">
      <c r="C14" s="55" t="s">
        <v>160</v>
      </c>
      <c r="D14" s="60"/>
      <c r="E14" s="60">
        <v>0.58757489087439407</v>
      </c>
      <c r="F14" s="60">
        <v>1.7627246726231824</v>
      </c>
      <c r="G14" s="60">
        <v>8.5198359176787157</v>
      </c>
      <c r="H14" s="60">
        <v>10.870135481176293</v>
      </c>
      <c r="I14" s="60">
        <v>172.45323047163467</v>
      </c>
      <c r="J14" s="60">
        <v>6.1695363541811377</v>
      </c>
      <c r="M14" s="39" t="s">
        <v>160</v>
      </c>
      <c r="N14" s="84">
        <v>2618324.17</v>
      </c>
      <c r="O14" s="84">
        <f>N14*260</f>
        <v>680764284.19999993</v>
      </c>
      <c r="Q14" s="63" t="s">
        <v>160</v>
      </c>
      <c r="R14" s="64"/>
      <c r="S14" s="39">
        <v>4</v>
      </c>
      <c r="T14" s="39">
        <v>12</v>
      </c>
      <c r="U14" s="39">
        <v>58</v>
      </c>
      <c r="V14" s="39">
        <v>74</v>
      </c>
      <c r="W14" s="39">
        <v>1174</v>
      </c>
      <c r="X14" s="39">
        <v>42</v>
      </c>
    </row>
    <row r="15" spans="3:24">
      <c r="C15" s="55" t="s">
        <v>164</v>
      </c>
      <c r="D15" s="60"/>
      <c r="E15" s="60">
        <v>0</v>
      </c>
      <c r="F15" s="60">
        <v>0.71587584389076675</v>
      </c>
      <c r="G15" s="60">
        <v>4.7247805696790603</v>
      </c>
      <c r="H15" s="60">
        <v>3.8657295570101406</v>
      </c>
      <c r="I15" s="60">
        <v>59.847220549268101</v>
      </c>
      <c r="J15" s="60">
        <v>1.4317516877815335</v>
      </c>
      <c r="M15" s="39" t="s">
        <v>164</v>
      </c>
      <c r="N15" s="84">
        <v>2686327.44</v>
      </c>
      <c r="O15" s="84">
        <f t="shared" ref="O15:O21" si="0">N15*260</f>
        <v>698445134.39999998</v>
      </c>
      <c r="Q15" s="63" t="s">
        <v>164</v>
      </c>
      <c r="R15" s="64"/>
      <c r="S15" s="39">
        <v>0</v>
      </c>
      <c r="T15" s="39">
        <v>5</v>
      </c>
      <c r="U15" s="39">
        <v>33</v>
      </c>
      <c r="V15" s="39">
        <v>27</v>
      </c>
      <c r="W15" s="39">
        <v>418</v>
      </c>
      <c r="X15" s="39">
        <v>10</v>
      </c>
    </row>
    <row r="16" spans="3:24">
      <c r="C16" s="55" t="s">
        <v>167</v>
      </c>
      <c r="D16" s="60"/>
      <c r="E16" s="60">
        <v>1.1315255007738096</v>
      </c>
      <c r="F16" s="60">
        <v>3.9089062754004331</v>
      </c>
      <c r="G16" s="60">
        <v>19.95599519546537</v>
      </c>
      <c r="H16" s="60">
        <v>32.197043794745674</v>
      </c>
      <c r="I16" s="60">
        <v>398.29697627238102</v>
      </c>
      <c r="J16" s="60">
        <v>12.549646463127708</v>
      </c>
      <c r="M16" s="39" t="s">
        <v>167</v>
      </c>
      <c r="N16" s="84">
        <v>3738995.92</v>
      </c>
      <c r="O16" s="84">
        <f t="shared" si="0"/>
        <v>972138939.19999993</v>
      </c>
      <c r="Q16" s="63" t="s">
        <v>167</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185</v>
      </c>
      <c r="N17" s="84">
        <v>2141923.42</v>
      </c>
      <c r="O17" s="84">
        <f t="shared" si="0"/>
        <v>556900089.19999993</v>
      </c>
      <c r="Q17" s="63" t="s">
        <v>170</v>
      </c>
      <c r="R17" s="64"/>
      <c r="S17" s="39">
        <v>6</v>
      </c>
      <c r="T17" s="39">
        <v>44</v>
      </c>
      <c r="U17" s="39">
        <v>189</v>
      </c>
      <c r="V17" s="39">
        <v>328</v>
      </c>
      <c r="W17" s="39">
        <v>3467</v>
      </c>
      <c r="X17" s="39">
        <v>117</v>
      </c>
    </row>
    <row r="18" spans="3:24">
      <c r="C18" s="55" t="s">
        <v>50</v>
      </c>
      <c r="D18" s="60"/>
      <c r="E18" s="60">
        <v>0.90708688014883054</v>
      </c>
      <c r="F18" s="60">
        <v>3.6345604444319584</v>
      </c>
      <c r="G18" s="60">
        <v>19.334618979610692</v>
      </c>
      <c r="H18" s="60">
        <v>53.611319786330533</v>
      </c>
      <c r="I18" s="60">
        <v>404.81547842368047</v>
      </c>
      <c r="J18" s="60">
        <v>37.824280317438905</v>
      </c>
      <c r="M18" s="39" t="s">
        <v>50</v>
      </c>
      <c r="N18" s="84">
        <v>61905697.659999996</v>
      </c>
      <c r="O18" s="84">
        <f t="shared" si="0"/>
        <v>16095481391.599998</v>
      </c>
      <c r="Q18" s="63" t="s">
        <v>50</v>
      </c>
      <c r="R18" s="64"/>
      <c r="S18" s="39">
        <v>146</v>
      </c>
      <c r="T18" s="39">
        <v>585</v>
      </c>
      <c r="U18" s="39">
        <v>3112</v>
      </c>
      <c r="V18" s="39">
        <v>8629</v>
      </c>
      <c r="W18" s="39">
        <v>65157</v>
      </c>
      <c r="X18" s="39">
        <v>6088</v>
      </c>
    </row>
    <row r="19" spans="3:24">
      <c r="C19" s="55" t="s">
        <v>175</v>
      </c>
      <c r="D19" s="60"/>
      <c r="E19" s="60">
        <v>3.3935222811020584</v>
      </c>
      <c r="F19" s="60">
        <v>4.2419028513775725</v>
      </c>
      <c r="G19" s="60">
        <v>9.3321862730306595</v>
      </c>
      <c r="H19" s="60">
        <v>22.057894827163377</v>
      </c>
      <c r="I19" s="60">
        <v>135.74089124408232</v>
      </c>
      <c r="J19" s="60">
        <v>3.3935222811020584</v>
      </c>
      <c r="M19" s="39" t="s">
        <v>175</v>
      </c>
      <c r="N19" s="84">
        <v>453352.42</v>
      </c>
      <c r="O19" s="84">
        <f t="shared" si="0"/>
        <v>117871629.2</v>
      </c>
      <c r="Q19" s="63" t="s">
        <v>175</v>
      </c>
      <c r="R19" s="64"/>
      <c r="S19" s="39">
        <v>4</v>
      </c>
      <c r="T19" s="39">
        <v>5</v>
      </c>
      <c r="U19" s="39">
        <v>11</v>
      </c>
      <c r="V19" s="39">
        <v>26</v>
      </c>
      <c r="W19" s="39">
        <v>160</v>
      </c>
      <c r="X19" s="39">
        <v>4</v>
      </c>
    </row>
    <row r="20" spans="3:24">
      <c r="C20" s="55" t="s">
        <v>176</v>
      </c>
      <c r="D20" s="60"/>
      <c r="E20" s="60">
        <v>0.40874620684819268</v>
      </c>
      <c r="F20" s="60">
        <v>2.3356926105611011</v>
      </c>
      <c r="G20" s="60">
        <v>15.532355860231322</v>
      </c>
      <c r="H20" s="60">
        <v>25.692618716172113</v>
      </c>
      <c r="I20" s="60">
        <v>267.43680390924607</v>
      </c>
      <c r="J20" s="60">
        <v>10.452224432260929</v>
      </c>
      <c r="M20" s="39" t="s">
        <v>176</v>
      </c>
      <c r="N20" s="84">
        <v>6586746.6100000003</v>
      </c>
      <c r="O20" s="84">
        <f t="shared" si="0"/>
        <v>1712554118.6000001</v>
      </c>
      <c r="Q20" s="63" t="s">
        <v>176</v>
      </c>
      <c r="R20" s="64"/>
      <c r="S20" s="39">
        <v>7</v>
      </c>
      <c r="T20" s="39">
        <v>40</v>
      </c>
      <c r="U20" s="39">
        <v>266</v>
      </c>
      <c r="V20" s="39">
        <v>440</v>
      </c>
      <c r="W20" s="39">
        <v>4580</v>
      </c>
      <c r="X20" s="39">
        <v>179</v>
      </c>
    </row>
    <row r="21" spans="3:24">
      <c r="C21" s="55" t="s">
        <v>177</v>
      </c>
      <c r="D21" s="60"/>
      <c r="E21" s="60">
        <v>1.4164379058069814</v>
      </c>
      <c r="F21" s="60">
        <v>1.4164379058069814</v>
      </c>
      <c r="G21" s="60">
        <v>3.1869852880657077</v>
      </c>
      <c r="H21" s="60">
        <v>3.1869852880657077</v>
      </c>
      <c r="I21" s="60">
        <v>16.643145393232032</v>
      </c>
      <c r="J21" s="60">
        <v>0</v>
      </c>
      <c r="M21" s="39" t="s">
        <v>177</v>
      </c>
      <c r="N21" s="84">
        <v>1086148.24</v>
      </c>
      <c r="O21" s="84">
        <f t="shared" si="0"/>
        <v>282398542.39999998</v>
      </c>
      <c r="Q21" s="63" t="s">
        <v>177</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186</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187</v>
      </c>
      <c r="Q26" t="s">
        <v>188</v>
      </c>
      <c r="S26" s="140"/>
      <c r="T26" s="140"/>
      <c r="U26" s="140"/>
      <c r="V26" s="140"/>
      <c r="W26" s="140"/>
      <c r="X26" s="140"/>
    </row>
    <row r="27" spans="3:24">
      <c r="C27" s="54" t="s">
        <v>49</v>
      </c>
      <c r="D27" s="54" t="s">
        <v>180</v>
      </c>
      <c r="E27" s="54" t="s">
        <v>158</v>
      </c>
      <c r="F27" s="54" t="s">
        <v>162</v>
      </c>
      <c r="G27" s="54" t="s">
        <v>165</v>
      </c>
      <c r="H27" s="54" t="s">
        <v>168</v>
      </c>
      <c r="I27" s="54" t="s">
        <v>171</v>
      </c>
      <c r="J27" s="54" t="s">
        <v>173</v>
      </c>
      <c r="M27" s="39" t="s">
        <v>189</v>
      </c>
      <c r="N27" s="39" t="s">
        <v>182</v>
      </c>
      <c r="O27" s="39" t="s">
        <v>183</v>
      </c>
      <c r="Q27" s="62" t="s">
        <v>49</v>
      </c>
      <c r="R27" s="62" t="s">
        <v>184</v>
      </c>
      <c r="S27" s="62" t="s">
        <v>158</v>
      </c>
      <c r="T27" s="62" t="s">
        <v>162</v>
      </c>
      <c r="U27" s="62" t="s">
        <v>165</v>
      </c>
      <c r="V27" s="62" t="s">
        <v>168</v>
      </c>
      <c r="W27" s="62" t="s">
        <v>171</v>
      </c>
      <c r="X27" s="62" t="s">
        <v>173</v>
      </c>
    </row>
    <row r="28" spans="3:24">
      <c r="C28" s="56" t="s">
        <v>160</v>
      </c>
      <c r="D28" s="60"/>
      <c r="E28" s="60">
        <v>2.3625405586197226</v>
      </c>
      <c r="F28" s="60">
        <v>8.4203368627728583</v>
      </c>
      <c r="G28" s="60">
        <v>41.314170794324376</v>
      </c>
      <c r="H28" s="60">
        <v>65.121310269646187</v>
      </c>
      <c r="I28" s="60">
        <v>615.29037061283384</v>
      </c>
      <c r="J28" s="60">
        <v>20.354195581954531</v>
      </c>
      <c r="M28" s="39" t="s">
        <v>160</v>
      </c>
      <c r="N28" s="84">
        <v>6349097.3499999996</v>
      </c>
      <c r="O28" s="84">
        <f>N28*260</f>
        <v>1650765311</v>
      </c>
      <c r="Q28" s="63" t="s">
        <v>160</v>
      </c>
      <c r="R28" s="64"/>
      <c r="S28" s="39">
        <v>39</v>
      </c>
      <c r="T28" s="39">
        <v>139</v>
      </c>
      <c r="U28" s="39">
        <v>682</v>
      </c>
      <c r="V28" s="39">
        <v>1075</v>
      </c>
      <c r="W28" s="84">
        <v>10157</v>
      </c>
      <c r="X28" s="39">
        <v>336</v>
      </c>
    </row>
    <row r="29" spans="3:24">
      <c r="C29" s="56" t="s">
        <v>164</v>
      </c>
      <c r="D29" s="60"/>
      <c r="E29" s="60">
        <v>2.8832323701282432</v>
      </c>
      <c r="F29" s="60">
        <v>27.184762346923439</v>
      </c>
      <c r="G29" s="60">
        <v>68.373796205898344</v>
      </c>
      <c r="H29" s="60">
        <v>63.019221804231606</v>
      </c>
      <c r="I29" s="60">
        <v>906.57063523603767</v>
      </c>
      <c r="J29" s="60">
        <v>35.422569118718414</v>
      </c>
      <c r="M29" s="39" t="s">
        <v>164</v>
      </c>
      <c r="N29" s="84">
        <v>933781.03</v>
      </c>
      <c r="O29" s="84">
        <f t="shared" ref="O29:O35" si="2">N29*260</f>
        <v>242783067.80000001</v>
      </c>
      <c r="Q29" s="63" t="s">
        <v>164</v>
      </c>
      <c r="R29" s="64"/>
      <c r="S29" s="39">
        <v>7</v>
      </c>
      <c r="T29" s="39">
        <v>66</v>
      </c>
      <c r="U29" s="39">
        <v>166</v>
      </c>
      <c r="V29" s="39">
        <v>153</v>
      </c>
      <c r="W29" s="39">
        <v>2201</v>
      </c>
      <c r="X29" s="39">
        <v>86</v>
      </c>
    </row>
    <row r="30" spans="3:24">
      <c r="C30" s="56" t="s">
        <v>167</v>
      </c>
      <c r="D30" s="60"/>
      <c r="E30" s="60">
        <v>0.99344502357157671</v>
      </c>
      <c r="F30" s="60">
        <v>5.5495894420205314</v>
      </c>
      <c r="G30" s="60">
        <v>33.605847176679887</v>
      </c>
      <c r="H30" s="60">
        <v>63.237914259073463</v>
      </c>
      <c r="I30" s="60">
        <v>637.62042150819855</v>
      </c>
      <c r="J30" s="60">
        <v>27.199839610890752</v>
      </c>
      <c r="M30" s="39" t="s">
        <v>167</v>
      </c>
      <c r="N30" s="84">
        <v>11227441.77</v>
      </c>
      <c r="O30" s="84">
        <f t="shared" si="2"/>
        <v>2919134860.1999998</v>
      </c>
      <c r="Q30" s="63" t="s">
        <v>167</v>
      </c>
      <c r="R30" s="64"/>
      <c r="S30" s="39">
        <v>29</v>
      </c>
      <c r="T30" s="39">
        <v>162</v>
      </c>
      <c r="U30" s="39">
        <v>981</v>
      </c>
      <c r="V30" s="84">
        <v>1846</v>
      </c>
      <c r="W30" s="84">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185</v>
      </c>
      <c r="N31" s="84">
        <v>4518307.46</v>
      </c>
      <c r="O31" s="84">
        <f t="shared" si="2"/>
        <v>1174759939.5999999</v>
      </c>
      <c r="Q31" s="63" t="s">
        <v>170</v>
      </c>
      <c r="R31" s="64"/>
      <c r="S31" s="39">
        <v>34</v>
      </c>
      <c r="T31" s="39">
        <v>165</v>
      </c>
      <c r="U31" s="39">
        <v>603</v>
      </c>
      <c r="V31" s="84">
        <v>1209</v>
      </c>
      <c r="W31" s="84">
        <v>13123</v>
      </c>
      <c r="X31" s="39">
        <v>563</v>
      </c>
    </row>
    <row r="32" spans="3:24">
      <c r="C32" s="56" t="s">
        <v>50</v>
      </c>
      <c r="D32" s="60"/>
      <c r="E32" s="60">
        <v>1.7455741549787349</v>
      </c>
      <c r="F32" s="60">
        <v>8.8235958091989612</v>
      </c>
      <c r="G32" s="60">
        <v>49.782648723119337</v>
      </c>
      <c r="H32" s="60">
        <v>124.27924895011503</v>
      </c>
      <c r="I32" s="60">
        <v>963.65828946693784</v>
      </c>
      <c r="J32" s="60">
        <v>83.618632907852302</v>
      </c>
      <c r="M32" s="39" t="s">
        <v>50</v>
      </c>
      <c r="N32" s="84">
        <v>68304614.209999993</v>
      </c>
      <c r="O32" s="84">
        <f t="shared" si="2"/>
        <v>17759199694.599998</v>
      </c>
      <c r="Q32" s="63" t="s">
        <v>50</v>
      </c>
      <c r="R32" s="64"/>
      <c r="S32" s="39">
        <v>310</v>
      </c>
      <c r="T32" s="84">
        <v>1567</v>
      </c>
      <c r="U32" s="84">
        <v>8841</v>
      </c>
      <c r="V32" s="84">
        <v>22071</v>
      </c>
      <c r="W32" s="84">
        <v>171138</v>
      </c>
      <c r="X32" s="84">
        <v>14850</v>
      </c>
    </row>
    <row r="33" spans="3:24">
      <c r="C33" s="56" t="s">
        <v>175</v>
      </c>
      <c r="D33" s="60"/>
      <c r="E33" s="60">
        <v>5.3130646924395055</v>
      </c>
      <c r="F33" s="60">
        <v>9.8447963418732023</v>
      </c>
      <c r="G33" s="60">
        <v>24.065057724578939</v>
      </c>
      <c r="H33" s="60">
        <v>52.349313881389243</v>
      </c>
      <c r="I33" s="60">
        <v>389.41638863409548</v>
      </c>
      <c r="J33" s="60">
        <v>13.126395122497602</v>
      </c>
      <c r="M33" s="39" t="s">
        <v>175</v>
      </c>
      <c r="N33" s="84">
        <v>2461276.84</v>
      </c>
      <c r="O33" s="84">
        <f t="shared" si="2"/>
        <v>639931978.39999998</v>
      </c>
      <c r="Q33" s="63" t="s">
        <v>175</v>
      </c>
      <c r="R33" s="64"/>
      <c r="S33" s="39">
        <v>34</v>
      </c>
      <c r="T33" s="39">
        <v>63</v>
      </c>
      <c r="U33" s="39">
        <v>154</v>
      </c>
      <c r="V33" s="39">
        <v>335</v>
      </c>
      <c r="W33" s="39">
        <v>2492</v>
      </c>
      <c r="X33" s="39">
        <v>84</v>
      </c>
    </row>
    <row r="34" spans="3:24">
      <c r="C34" s="56" t="s">
        <v>176</v>
      </c>
      <c r="D34" s="60"/>
      <c r="E34" s="60">
        <v>1.6733669755541722</v>
      </c>
      <c r="F34" s="60">
        <v>10.467444485381417</v>
      </c>
      <c r="G34" s="60">
        <v>41.371328204126556</v>
      </c>
      <c r="H34" s="60">
        <v>63.089495333659421</v>
      </c>
      <c r="I34" s="60">
        <v>590.98337079199359</v>
      </c>
      <c r="J34" s="60">
        <v>22.750670157002467</v>
      </c>
      <c r="M34" s="39" t="s">
        <v>176</v>
      </c>
      <c r="N34" s="84">
        <v>10802724.890000001</v>
      </c>
      <c r="O34" s="84">
        <f t="shared" si="2"/>
        <v>2808708471.4000001</v>
      </c>
      <c r="Q34" s="63" t="s">
        <v>176</v>
      </c>
      <c r="R34" s="64"/>
      <c r="S34" s="39">
        <v>47</v>
      </c>
      <c r="T34" s="39">
        <v>294</v>
      </c>
      <c r="U34" s="84">
        <v>1162</v>
      </c>
      <c r="V34" s="84">
        <v>1772</v>
      </c>
      <c r="W34" s="84">
        <v>16599</v>
      </c>
      <c r="X34" s="39">
        <v>639</v>
      </c>
    </row>
    <row r="35" spans="3:24">
      <c r="C35" s="56" t="s">
        <v>177</v>
      </c>
      <c r="D35" s="60"/>
      <c r="E35" s="60">
        <v>7.1772175901711934</v>
      </c>
      <c r="F35" s="60">
        <v>11.124687264765349</v>
      </c>
      <c r="G35" s="60">
        <v>37.680392348398769</v>
      </c>
      <c r="H35" s="60">
        <v>58.135462480386664</v>
      </c>
      <c r="I35" s="60">
        <v>454.67673433734507</v>
      </c>
      <c r="J35" s="60">
        <v>26.555705083633416</v>
      </c>
      <c r="M35" s="39" t="s">
        <v>177</v>
      </c>
      <c r="N35" s="84">
        <v>1071767.3799999999</v>
      </c>
      <c r="O35" s="84">
        <f t="shared" si="2"/>
        <v>278659518.79999995</v>
      </c>
      <c r="Q35" s="63" t="s">
        <v>177</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186</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190</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4.4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191</v>
      </c>
    </row>
    <row r="4" spans="2:9">
      <c r="B4" s="38" t="s">
        <v>192</v>
      </c>
      <c r="C4" s="38" t="s">
        <v>193</v>
      </c>
      <c r="D4" s="38" t="s">
        <v>194</v>
      </c>
      <c r="E4" s="38" t="s">
        <v>195</v>
      </c>
      <c r="F4" s="1"/>
    </row>
    <row r="5" spans="2:9">
      <c r="B5" s="39" t="s">
        <v>126</v>
      </c>
      <c r="C5" s="39" t="s">
        <v>127</v>
      </c>
      <c r="D5" s="40">
        <v>0</v>
      </c>
      <c r="E5" s="49">
        <v>4327</v>
      </c>
      <c r="F5" s="69"/>
      <c r="H5" s="52"/>
    </row>
    <row r="6" spans="2:9">
      <c r="B6" s="39" t="s">
        <v>128</v>
      </c>
      <c r="C6" s="39" t="s">
        <v>129</v>
      </c>
      <c r="D6" s="40">
        <v>3.0000000000000001E-3</v>
      </c>
      <c r="E6" s="49">
        <v>28800</v>
      </c>
      <c r="F6" s="69"/>
      <c r="H6" s="52"/>
    </row>
    <row r="7" spans="2:9">
      <c r="B7" s="39" t="s">
        <v>130</v>
      </c>
      <c r="C7" s="39" t="s">
        <v>131</v>
      </c>
      <c r="D7" s="40">
        <v>4.7E-2</v>
      </c>
      <c r="E7" s="49">
        <v>451200</v>
      </c>
      <c r="F7" s="69"/>
      <c r="H7" s="52"/>
    </row>
    <row r="8" spans="2:9">
      <c r="B8" s="39" t="s">
        <v>132</v>
      </c>
      <c r="C8" s="39" t="s">
        <v>133</v>
      </c>
      <c r="D8" s="40">
        <v>0.105</v>
      </c>
      <c r="E8" s="49">
        <v>1008000</v>
      </c>
      <c r="F8" s="69"/>
      <c r="H8" s="52"/>
    </row>
    <row r="9" spans="2:9">
      <c r="B9" s="39" t="s">
        <v>134</v>
      </c>
      <c r="C9" s="39" t="s">
        <v>135</v>
      </c>
      <c r="D9" s="40">
        <v>0.26600000000000001</v>
      </c>
      <c r="E9" s="49">
        <v>2553600</v>
      </c>
      <c r="F9" s="69"/>
      <c r="H9" s="52"/>
    </row>
    <row r="10" spans="2:9">
      <c r="B10" s="39" t="s">
        <v>136</v>
      </c>
      <c r="C10" s="39" t="s">
        <v>137</v>
      </c>
      <c r="D10" s="40">
        <v>0.59299999999999997</v>
      </c>
      <c r="E10" s="49">
        <v>5692800</v>
      </c>
      <c r="F10" s="69"/>
      <c r="H10" s="52"/>
    </row>
    <row r="11" spans="2:9">
      <c r="B11" s="39" t="s">
        <v>138</v>
      </c>
      <c r="C11" s="39" t="s">
        <v>196</v>
      </c>
      <c r="D11" s="40">
        <v>1</v>
      </c>
      <c r="E11" s="49">
        <v>9600000</v>
      </c>
      <c r="F11" s="69"/>
      <c r="H11" s="52"/>
    </row>
    <row r="14" spans="2:9">
      <c r="B14" s="2" t="s">
        <v>197</v>
      </c>
    </row>
    <row r="16" spans="2:9">
      <c r="B16" s="38" t="s">
        <v>192</v>
      </c>
      <c r="C16" s="39" t="s">
        <v>193</v>
      </c>
      <c r="D16" s="38" t="s">
        <v>118</v>
      </c>
      <c r="E16" s="38" t="s">
        <v>119</v>
      </c>
      <c r="F16" s="38" t="s">
        <v>120</v>
      </c>
      <c r="G16" s="38" t="s">
        <v>121</v>
      </c>
      <c r="H16" s="38" t="s">
        <v>122</v>
      </c>
      <c r="I16" s="38" t="s">
        <v>123</v>
      </c>
    </row>
    <row r="17" spans="2:9">
      <c r="B17" s="38" t="s">
        <v>126</v>
      </c>
      <c r="C17" s="39" t="s">
        <v>127</v>
      </c>
      <c r="D17" s="46">
        <v>0</v>
      </c>
      <c r="E17" s="46">
        <v>3.4369999999999998E-2</v>
      </c>
      <c r="F17" s="46">
        <v>8.3470000000000003E-2</v>
      </c>
      <c r="G17" s="46">
        <v>0.23436999999999999</v>
      </c>
      <c r="H17" s="46">
        <v>0.92534000000000005</v>
      </c>
      <c r="I17" s="46">
        <v>0.43675999999999998</v>
      </c>
    </row>
    <row r="18" spans="2:9">
      <c r="B18" s="38" t="s">
        <v>128</v>
      </c>
      <c r="C18" s="39" t="s">
        <v>129</v>
      </c>
      <c r="D18" s="46">
        <v>0</v>
      </c>
      <c r="E18" s="46">
        <v>0.55449000000000004</v>
      </c>
      <c r="F18" s="46">
        <v>0.76842999999999995</v>
      </c>
      <c r="G18" s="46">
        <v>0.68945999999999996</v>
      </c>
      <c r="H18" s="46">
        <v>7.2569999999999996E-2</v>
      </c>
      <c r="I18" s="46">
        <v>0.41738999999999998</v>
      </c>
    </row>
    <row r="19" spans="2:9">
      <c r="B19" s="38" t="s">
        <v>130</v>
      </c>
      <c r="C19" s="39" t="s">
        <v>131</v>
      </c>
      <c r="D19" s="46">
        <v>0</v>
      </c>
      <c r="E19" s="46">
        <v>0.20907999999999999</v>
      </c>
      <c r="F19" s="46">
        <v>0.10897999999999999</v>
      </c>
      <c r="G19" s="46">
        <v>6.3909999999999995E-2</v>
      </c>
      <c r="H19" s="46">
        <v>1.98E-3</v>
      </c>
      <c r="I19" s="46">
        <v>8.8719999999999993E-2</v>
      </c>
    </row>
    <row r="20" spans="2:9">
      <c r="B20" s="38" t="s">
        <v>132</v>
      </c>
      <c r="C20" s="39" t="s">
        <v>133</v>
      </c>
      <c r="D20" s="46">
        <v>0</v>
      </c>
      <c r="E20" s="46">
        <v>0.14437</v>
      </c>
      <c r="F20" s="46">
        <v>3.1910000000000001E-2</v>
      </c>
      <c r="G20" s="46">
        <v>1.0710000000000001E-2</v>
      </c>
      <c r="H20" s="46">
        <v>8.0000000000000007E-5</v>
      </c>
      <c r="I20" s="46">
        <v>4.8169999999999998E-2</v>
      </c>
    </row>
    <row r="21" spans="2:9">
      <c r="B21" s="38" t="s">
        <v>134</v>
      </c>
      <c r="C21" s="39" t="s">
        <v>135</v>
      </c>
      <c r="D21" s="46">
        <v>0</v>
      </c>
      <c r="E21" s="46">
        <v>3.986E-2</v>
      </c>
      <c r="F21" s="46">
        <v>6.1999999999999998E-3</v>
      </c>
      <c r="G21" s="46">
        <v>1.42E-3</v>
      </c>
      <c r="H21" s="46">
        <v>0</v>
      </c>
      <c r="I21" s="46">
        <v>6.1700000000000001E-3</v>
      </c>
    </row>
    <row r="22" spans="2:9">
      <c r="B22" s="38" t="s">
        <v>136</v>
      </c>
      <c r="C22" s="39" t="s">
        <v>137</v>
      </c>
      <c r="D22" s="46">
        <v>0</v>
      </c>
      <c r="E22" s="46">
        <v>1.7829999999999999E-2</v>
      </c>
      <c r="F22" s="46">
        <v>1.01E-3</v>
      </c>
      <c r="G22" s="46">
        <v>1.2999999999999999E-4</v>
      </c>
      <c r="H22" s="46">
        <v>3.0000000000000001E-5</v>
      </c>
      <c r="I22" s="46">
        <v>2.7899999999999999E-3</v>
      </c>
    </row>
    <row r="23" spans="2:9">
      <c r="B23" s="38" t="s">
        <v>138</v>
      </c>
      <c r="C23" s="39" t="s">
        <v>196</v>
      </c>
      <c r="D23" s="46">
        <v>1</v>
      </c>
      <c r="E23" s="46">
        <v>0</v>
      </c>
      <c r="F23" s="46">
        <v>0</v>
      </c>
      <c r="G23" s="46">
        <v>0</v>
      </c>
      <c r="H23" s="46">
        <v>0</v>
      </c>
      <c r="I23" s="46">
        <v>0</v>
      </c>
    </row>
    <row r="24" spans="2:9">
      <c r="B24" s="141" t="s">
        <v>198</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4.45"/>
  <cols>
    <col min="3" max="3" width="55.42578125" customWidth="1"/>
    <col min="4" max="4" width="12.28515625" customWidth="1"/>
    <col min="5" max="5" width="21.5703125" bestFit="1" customWidth="1"/>
    <col min="6" max="6" width="10.85546875" bestFit="1" customWidth="1"/>
  </cols>
  <sheetData>
    <row r="1" spans="2:6">
      <c r="B1" t="s">
        <v>199</v>
      </c>
      <c r="C1" t="s">
        <v>200</v>
      </c>
    </row>
    <row r="3" spans="2:6">
      <c r="C3" s="70" t="s">
        <v>201</v>
      </c>
      <c r="D3" s="70" t="s">
        <v>202</v>
      </c>
      <c r="E3" s="70" t="s">
        <v>203</v>
      </c>
      <c r="F3" s="70" t="s">
        <v>204</v>
      </c>
    </row>
    <row r="4" spans="2:6">
      <c r="C4" s="71" t="s">
        <v>205</v>
      </c>
      <c r="D4" s="92">
        <v>101</v>
      </c>
      <c r="E4" s="93">
        <v>0.2</v>
      </c>
      <c r="F4" s="94">
        <v>6</v>
      </c>
    </row>
    <row r="5" spans="2:6">
      <c r="C5" s="72" t="s">
        <v>206</v>
      </c>
      <c r="D5" s="92">
        <v>102</v>
      </c>
      <c r="E5" s="93">
        <v>0.2</v>
      </c>
      <c r="F5" s="94">
        <v>6</v>
      </c>
    </row>
    <row r="6" spans="2:6">
      <c r="C6" s="71" t="s">
        <v>207</v>
      </c>
      <c r="D6" s="92">
        <v>105</v>
      </c>
      <c r="E6" s="95">
        <v>0.25</v>
      </c>
      <c r="F6" s="94">
        <v>10</v>
      </c>
    </row>
    <row r="7" spans="2:6">
      <c r="C7" s="71" t="s">
        <v>208</v>
      </c>
      <c r="D7" s="92">
        <v>106</v>
      </c>
      <c r="E7" s="93">
        <v>0.1</v>
      </c>
      <c r="F7" s="94">
        <v>10</v>
      </c>
    </row>
    <row r="8" spans="2:6">
      <c r="C8" s="71" t="s">
        <v>209</v>
      </c>
      <c r="D8" s="92">
        <v>107</v>
      </c>
      <c r="E8" s="93">
        <v>0.28000000000000003</v>
      </c>
      <c r="F8" s="94">
        <v>10</v>
      </c>
    </row>
    <row r="9" spans="2:6">
      <c r="C9" s="71" t="s">
        <v>210</v>
      </c>
      <c r="D9" s="92">
        <v>108</v>
      </c>
      <c r="E9" s="93">
        <v>0.22</v>
      </c>
      <c r="F9" s="94">
        <v>10</v>
      </c>
    </row>
    <row r="10" spans="2:6">
      <c r="C10" s="71" t="s">
        <v>211</v>
      </c>
      <c r="D10" s="92">
        <v>110</v>
      </c>
      <c r="E10" s="93">
        <v>0.15</v>
      </c>
      <c r="F10" s="94">
        <v>10</v>
      </c>
    </row>
    <row r="11" spans="2:6">
      <c r="C11" s="71" t="s">
        <v>212</v>
      </c>
      <c r="D11" s="92">
        <v>111</v>
      </c>
      <c r="E11" s="93">
        <v>0.1</v>
      </c>
      <c r="F11" s="94">
        <v>10</v>
      </c>
    </row>
    <row r="12" spans="2:6">
      <c r="C12" s="72" t="s">
        <v>213</v>
      </c>
      <c r="D12" s="92">
        <v>112</v>
      </c>
      <c r="E12" s="93">
        <v>0.65</v>
      </c>
      <c r="F12" s="94">
        <v>1</v>
      </c>
    </row>
    <row r="13" spans="2:6">
      <c r="C13" s="71" t="s">
        <v>214</v>
      </c>
      <c r="D13" s="92">
        <v>113</v>
      </c>
      <c r="E13" s="95">
        <v>0.3</v>
      </c>
      <c r="F13" s="94">
        <v>2</v>
      </c>
    </row>
    <row r="14" spans="2:6">
      <c r="C14" s="71" t="s">
        <v>215</v>
      </c>
      <c r="D14" s="92">
        <v>114</v>
      </c>
      <c r="E14" s="93">
        <v>0.2</v>
      </c>
      <c r="F14" s="94">
        <v>5</v>
      </c>
    </row>
    <row r="15" spans="2:6">
      <c r="C15" s="71" t="s">
        <v>216</v>
      </c>
      <c r="D15" s="92">
        <v>118</v>
      </c>
      <c r="E15" s="93">
        <v>0.25</v>
      </c>
      <c r="F15" s="94">
        <v>10</v>
      </c>
    </row>
    <row r="16" spans="2:6">
      <c r="C16" s="72" t="s">
        <v>217</v>
      </c>
      <c r="D16" s="92">
        <v>119</v>
      </c>
      <c r="E16" s="93">
        <v>0.2</v>
      </c>
      <c r="F16" s="94">
        <v>6</v>
      </c>
    </row>
    <row r="17" spans="3:6">
      <c r="C17" s="71" t="s">
        <v>218</v>
      </c>
      <c r="D17" s="92">
        <v>121</v>
      </c>
      <c r="E17" s="95">
        <v>0.15</v>
      </c>
      <c r="F17" s="94">
        <v>6</v>
      </c>
    </row>
    <row r="18" spans="3:6" ht="29.1">
      <c r="C18" s="72" t="s">
        <v>219</v>
      </c>
      <c r="D18" s="92">
        <v>122</v>
      </c>
      <c r="E18" s="93">
        <v>0.1</v>
      </c>
      <c r="F18" s="94">
        <v>10</v>
      </c>
    </row>
    <row r="19" spans="3:6">
      <c r="C19" s="72" t="s">
        <v>220</v>
      </c>
      <c r="D19" s="92">
        <v>123</v>
      </c>
      <c r="E19" s="93">
        <v>0.1</v>
      </c>
      <c r="F19" s="94">
        <v>10</v>
      </c>
    </row>
    <row r="20" spans="3:6" ht="29.1">
      <c r="C20" s="72" t="s">
        <v>221</v>
      </c>
      <c r="D20" s="92">
        <v>124</v>
      </c>
      <c r="E20" s="93">
        <v>0.15</v>
      </c>
      <c r="F20" s="94">
        <v>10</v>
      </c>
    </row>
    <row r="21" spans="3:6">
      <c r="C21" s="71" t="s">
        <v>222</v>
      </c>
      <c r="D21" s="92">
        <v>125</v>
      </c>
      <c r="E21" s="95">
        <v>0.15</v>
      </c>
      <c r="F21" s="94">
        <v>10</v>
      </c>
    </row>
    <row r="22" spans="3:6" ht="29.1">
      <c r="C22" s="72" t="s">
        <v>223</v>
      </c>
      <c r="D22" s="92">
        <v>126</v>
      </c>
      <c r="E22" s="93">
        <v>0.2</v>
      </c>
      <c r="F22" s="94">
        <v>10</v>
      </c>
    </row>
    <row r="23" spans="3:6" ht="29.1">
      <c r="C23" s="72" t="s">
        <v>224</v>
      </c>
      <c r="D23" s="92">
        <v>127</v>
      </c>
      <c r="E23" s="93">
        <v>0.1</v>
      </c>
      <c r="F23" s="94">
        <v>10</v>
      </c>
    </row>
    <row r="24" spans="3:6" ht="29.1">
      <c r="C24" s="72" t="s">
        <v>225</v>
      </c>
      <c r="D24" s="92">
        <v>128</v>
      </c>
      <c r="E24" s="93">
        <v>0.05</v>
      </c>
      <c r="F24" s="94">
        <v>6</v>
      </c>
    </row>
    <row r="25" spans="3:6" ht="29.1">
      <c r="C25" s="72" t="s">
        <v>226</v>
      </c>
      <c r="D25" s="92">
        <v>129</v>
      </c>
      <c r="E25" s="93">
        <v>0.1</v>
      </c>
      <c r="F25" s="94">
        <v>10</v>
      </c>
    </row>
    <row r="26" spans="3:6">
      <c r="C26" s="71" t="s">
        <v>227</v>
      </c>
      <c r="D26" s="92">
        <v>130</v>
      </c>
      <c r="E26" s="95">
        <v>0.05</v>
      </c>
      <c r="F26" s="94">
        <v>6</v>
      </c>
    </row>
    <row r="27" spans="3:6">
      <c r="C27" s="71" t="s">
        <v>228</v>
      </c>
      <c r="D27" s="92">
        <v>131</v>
      </c>
      <c r="E27" s="93">
        <v>0.1</v>
      </c>
      <c r="F27" s="94">
        <v>10</v>
      </c>
    </row>
    <row r="28" spans="3:6">
      <c r="C28" s="71" t="s">
        <v>229</v>
      </c>
      <c r="D28" s="92">
        <v>132</v>
      </c>
      <c r="E28" s="93">
        <v>0.1</v>
      </c>
      <c r="F28" s="94">
        <v>10</v>
      </c>
    </row>
    <row r="29" spans="3:6">
      <c r="C29" s="71" t="s">
        <v>230</v>
      </c>
      <c r="D29" s="92">
        <v>133</v>
      </c>
      <c r="E29" s="93">
        <v>0.05</v>
      </c>
      <c r="F29" s="94">
        <v>5</v>
      </c>
    </row>
    <row r="30" spans="3:6">
      <c r="C30" s="71" t="s">
        <v>231</v>
      </c>
      <c r="D30" s="92">
        <v>202</v>
      </c>
      <c r="E30" s="93">
        <v>0.4</v>
      </c>
      <c r="F30" s="94">
        <v>15</v>
      </c>
    </row>
    <row r="31" spans="3:6">
      <c r="C31" s="71" t="s">
        <v>232</v>
      </c>
      <c r="D31" s="92">
        <v>201</v>
      </c>
      <c r="E31" s="93">
        <v>0.65</v>
      </c>
      <c r="F31" s="94">
        <v>15</v>
      </c>
    </row>
    <row r="32" spans="3:6">
      <c r="C32" s="71" t="s">
        <v>233</v>
      </c>
      <c r="D32" s="92">
        <v>203</v>
      </c>
      <c r="E32" s="93">
        <v>0.4</v>
      </c>
      <c r="F32" s="94">
        <v>20</v>
      </c>
    </row>
    <row r="33" spans="3:6">
      <c r="C33" s="72" t="s">
        <v>234</v>
      </c>
      <c r="D33" s="92">
        <v>204</v>
      </c>
      <c r="E33" s="93">
        <v>0.46</v>
      </c>
      <c r="F33" s="94">
        <v>20</v>
      </c>
    </row>
    <row r="34" spans="3:6">
      <c r="C34" s="71" t="s">
        <v>235</v>
      </c>
      <c r="D34" s="92">
        <v>205</v>
      </c>
      <c r="E34" s="95">
        <v>0.15</v>
      </c>
      <c r="F34" s="94">
        <v>10</v>
      </c>
    </row>
    <row r="35" spans="3:6">
      <c r="C35" s="71" t="s">
        <v>236</v>
      </c>
      <c r="D35" s="92">
        <v>206</v>
      </c>
      <c r="E35" s="93">
        <v>7.0000000000000007E-2</v>
      </c>
      <c r="F35" s="94">
        <v>10</v>
      </c>
    </row>
    <row r="36" spans="3:6">
      <c r="C36" s="72" t="s">
        <v>237</v>
      </c>
      <c r="D36" s="92">
        <v>207</v>
      </c>
      <c r="E36" s="93">
        <v>0.3</v>
      </c>
      <c r="F36" s="94">
        <v>10</v>
      </c>
    </row>
    <row r="37" spans="3:6">
      <c r="C37" s="71" t="s">
        <v>238</v>
      </c>
      <c r="D37" s="92">
        <v>209</v>
      </c>
      <c r="E37" s="95">
        <v>0.55000000000000004</v>
      </c>
      <c r="F37" s="94">
        <v>20</v>
      </c>
    </row>
    <row r="38" spans="3:6">
      <c r="C38" s="71" t="s">
        <v>239</v>
      </c>
      <c r="D38" s="92">
        <v>217</v>
      </c>
      <c r="E38" s="93">
        <v>0.6</v>
      </c>
      <c r="F38" s="94">
        <v>10</v>
      </c>
    </row>
    <row r="39" spans="3:6">
      <c r="C39" s="71" t="s">
        <v>240</v>
      </c>
      <c r="D39" s="92">
        <v>218</v>
      </c>
      <c r="E39" s="93">
        <v>0.55000000000000004</v>
      </c>
      <c r="F39" s="94">
        <v>20</v>
      </c>
    </row>
    <row r="40" spans="3:6">
      <c r="C40" s="71" t="s">
        <v>241</v>
      </c>
      <c r="D40" s="92">
        <v>219</v>
      </c>
      <c r="E40" s="93">
        <v>0.1</v>
      </c>
      <c r="F40" s="94">
        <v>10</v>
      </c>
    </row>
    <row r="41" spans="3:6">
      <c r="C41" s="71" t="s">
        <v>242</v>
      </c>
      <c r="D41" s="92">
        <v>222</v>
      </c>
      <c r="E41" s="93">
        <v>0.1</v>
      </c>
      <c r="F41" s="94">
        <v>10</v>
      </c>
    </row>
    <row r="42" spans="3:6">
      <c r="C42" s="71" t="s">
        <v>243</v>
      </c>
      <c r="D42" s="92">
        <v>303</v>
      </c>
      <c r="E42" s="93">
        <v>0.42</v>
      </c>
      <c r="F42" s="94">
        <v>10</v>
      </c>
    </row>
    <row r="43" spans="3:6">
      <c r="C43" s="72" t="s">
        <v>244</v>
      </c>
      <c r="D43" s="92">
        <v>304</v>
      </c>
      <c r="E43" s="93">
        <v>0.4</v>
      </c>
      <c r="F43" s="94">
        <v>15</v>
      </c>
    </row>
    <row r="44" spans="3:6">
      <c r="C44" s="71" t="s">
        <v>245</v>
      </c>
      <c r="D44" s="92">
        <v>305</v>
      </c>
      <c r="E44" s="95">
        <v>0.75</v>
      </c>
      <c r="F44" s="94">
        <v>15</v>
      </c>
    </row>
    <row r="45" spans="3:6">
      <c r="C45" s="39" t="s">
        <v>246</v>
      </c>
      <c r="D45" s="94">
        <v>401</v>
      </c>
      <c r="E45" s="96">
        <v>0.2</v>
      </c>
      <c r="F45" s="94">
        <v>2</v>
      </c>
    </row>
    <row r="46" spans="3:6">
      <c r="C46" s="39" t="s">
        <v>247</v>
      </c>
      <c r="D46" s="94">
        <v>402</v>
      </c>
      <c r="E46" s="96">
        <v>0.25</v>
      </c>
      <c r="F46" s="94">
        <v>2</v>
      </c>
    </row>
    <row r="47" spans="3:6">
      <c r="C47" s="72" t="s">
        <v>248</v>
      </c>
      <c r="D47" s="94">
        <v>403</v>
      </c>
      <c r="E47" s="96">
        <v>0.1</v>
      </c>
      <c r="F47" s="94">
        <v>2</v>
      </c>
    </row>
    <row r="48" spans="3:6">
      <c r="C48" s="72" t="s">
        <v>249</v>
      </c>
      <c r="D48" s="94">
        <v>404</v>
      </c>
      <c r="E48" s="96">
        <v>0.65</v>
      </c>
      <c r="F48" s="94">
        <v>2</v>
      </c>
    </row>
    <row r="49" spans="3:6">
      <c r="C49" s="39" t="s">
        <v>250</v>
      </c>
      <c r="D49" s="94">
        <v>407</v>
      </c>
      <c r="E49" s="95">
        <v>0.2</v>
      </c>
      <c r="F49" s="94">
        <v>10</v>
      </c>
    </row>
    <row r="50" spans="3:6">
      <c r="C50" s="71" t="s">
        <v>251</v>
      </c>
      <c r="D50" s="92">
        <v>501</v>
      </c>
      <c r="E50" s="93">
        <v>0.15</v>
      </c>
      <c r="F50" s="94">
        <v>20</v>
      </c>
    </row>
    <row r="51" spans="3:6">
      <c r="C51" s="71" t="s">
        <v>69</v>
      </c>
      <c r="D51" s="92">
        <v>502</v>
      </c>
      <c r="E51" s="93">
        <v>0.3</v>
      </c>
      <c r="F51" s="94">
        <v>20</v>
      </c>
    </row>
    <row r="52" spans="3:6">
      <c r="C52" s="71" t="s">
        <v>252</v>
      </c>
      <c r="D52" s="92">
        <v>503</v>
      </c>
      <c r="E52" s="93">
        <v>0.25</v>
      </c>
      <c r="F52" s="94">
        <v>20</v>
      </c>
    </row>
    <row r="53" spans="3:6">
      <c r="C53" s="71" t="s">
        <v>253</v>
      </c>
      <c r="D53" s="92">
        <v>504</v>
      </c>
      <c r="E53" s="93">
        <v>0.25</v>
      </c>
      <c r="F53" s="94">
        <v>20</v>
      </c>
    </row>
    <row r="54" spans="3:6">
      <c r="C54" s="72" t="s">
        <v>254</v>
      </c>
      <c r="D54" s="92">
        <v>505</v>
      </c>
      <c r="E54" s="93">
        <v>0.5</v>
      </c>
      <c r="F54" s="94">
        <v>10</v>
      </c>
    </row>
    <row r="55" spans="3:6">
      <c r="C55" s="71" t="s">
        <v>255</v>
      </c>
      <c r="D55" s="92">
        <v>506</v>
      </c>
      <c r="E55" s="95">
        <v>0.5</v>
      </c>
      <c r="F55" s="94">
        <v>10</v>
      </c>
    </row>
    <row r="56" spans="3:6">
      <c r="C56" s="72" t="s">
        <v>256</v>
      </c>
      <c r="D56" s="92">
        <v>507</v>
      </c>
      <c r="E56" s="95">
        <v>0.65</v>
      </c>
      <c r="F56" s="94">
        <v>10</v>
      </c>
    </row>
    <row r="57" spans="3:6">
      <c r="C57" s="72" t="s">
        <v>257</v>
      </c>
      <c r="D57" s="92">
        <v>510</v>
      </c>
      <c r="E57" s="95">
        <v>0.4</v>
      </c>
      <c r="F57" s="94">
        <v>10</v>
      </c>
    </row>
    <row r="58" spans="3:6">
      <c r="C58" s="71" t="s">
        <v>258</v>
      </c>
      <c r="D58" s="92">
        <v>511</v>
      </c>
      <c r="E58" s="95">
        <v>0.1</v>
      </c>
      <c r="F58" s="94">
        <v>10</v>
      </c>
    </row>
    <row r="59" spans="3:6">
      <c r="C59" s="71" t="s">
        <v>259</v>
      </c>
      <c r="D59" s="92">
        <v>514</v>
      </c>
      <c r="E59" s="93">
        <v>0.8</v>
      </c>
      <c r="F59" s="94">
        <v>30</v>
      </c>
    </row>
    <row r="60" spans="3:6">
      <c r="C60" s="71" t="s">
        <v>260</v>
      </c>
      <c r="D60" s="92">
        <v>515</v>
      </c>
      <c r="E60" s="93">
        <v>0.65</v>
      </c>
      <c r="F60" s="94">
        <v>30</v>
      </c>
    </row>
    <row r="61" spans="3:6">
      <c r="C61" s="72" t="s">
        <v>261</v>
      </c>
      <c r="D61" s="92">
        <v>516</v>
      </c>
      <c r="E61" s="93">
        <v>0.95</v>
      </c>
      <c r="F61" s="94">
        <v>20</v>
      </c>
    </row>
    <row r="62" spans="3:6">
      <c r="C62" s="71" t="s">
        <v>262</v>
      </c>
      <c r="D62" s="92">
        <v>517</v>
      </c>
      <c r="E62" s="95">
        <v>0.28000000000000003</v>
      </c>
      <c r="F62" s="94">
        <v>20</v>
      </c>
    </row>
    <row r="63" spans="3:6">
      <c r="C63" s="71" t="s">
        <v>263</v>
      </c>
      <c r="D63" s="92">
        <v>518</v>
      </c>
      <c r="E63" s="93">
        <v>0.45</v>
      </c>
      <c r="F63" s="94">
        <v>10</v>
      </c>
    </row>
    <row r="64" spans="3:6">
      <c r="C64" s="71" t="s">
        <v>264</v>
      </c>
      <c r="D64" s="92">
        <v>519</v>
      </c>
      <c r="E64" s="93">
        <v>0.25</v>
      </c>
      <c r="F64" s="94">
        <v>10</v>
      </c>
    </row>
    <row r="65" spans="3:6">
      <c r="C65" s="71" t="s">
        <v>265</v>
      </c>
      <c r="D65" s="92">
        <v>520</v>
      </c>
      <c r="E65" s="93">
        <v>0.4</v>
      </c>
      <c r="F65" s="94">
        <v>10</v>
      </c>
    </row>
    <row r="66" spans="3:6">
      <c r="C66" s="71" t="s">
        <v>266</v>
      </c>
      <c r="D66" s="92">
        <v>521</v>
      </c>
      <c r="E66" s="93">
        <v>0.25</v>
      </c>
      <c r="F66" s="94">
        <v>10</v>
      </c>
    </row>
    <row r="67" spans="3:6">
      <c r="C67" s="71" t="s">
        <v>267</v>
      </c>
      <c r="D67" s="92">
        <v>522</v>
      </c>
      <c r="E67" s="93">
        <v>0.4</v>
      </c>
      <c r="F67" s="94">
        <v>10</v>
      </c>
    </row>
    <row r="68" spans="3:6">
      <c r="C68" s="71" t="s">
        <v>268</v>
      </c>
      <c r="D68" s="92">
        <v>523</v>
      </c>
      <c r="E68" s="93">
        <v>0.95</v>
      </c>
      <c r="F68" s="94">
        <v>10</v>
      </c>
    </row>
    <row r="69" spans="3:6">
      <c r="C69" s="71" t="s">
        <v>269</v>
      </c>
      <c r="D69" s="92">
        <v>524</v>
      </c>
      <c r="E69" s="93">
        <v>0.1</v>
      </c>
      <c r="F69" s="94">
        <v>10</v>
      </c>
    </row>
    <row r="70" spans="3:6">
      <c r="C70" s="72" t="s">
        <v>270</v>
      </c>
      <c r="D70" s="92">
        <v>525</v>
      </c>
      <c r="E70" s="93">
        <v>0.25</v>
      </c>
      <c r="F70" s="94">
        <v>10</v>
      </c>
    </row>
    <row r="71" spans="3:6">
      <c r="C71" s="71" t="s">
        <v>271</v>
      </c>
      <c r="D71" s="92">
        <v>526</v>
      </c>
      <c r="E71" s="95">
        <v>0.5</v>
      </c>
      <c r="F71" s="94">
        <v>10</v>
      </c>
    </row>
    <row r="72" spans="3:6">
      <c r="C72" s="71" t="s">
        <v>272</v>
      </c>
      <c r="D72" s="92">
        <v>527</v>
      </c>
      <c r="E72" s="93">
        <v>0.95</v>
      </c>
      <c r="F72" s="94">
        <v>10</v>
      </c>
    </row>
    <row r="73" spans="3:6">
      <c r="C73" s="71" t="s">
        <v>273</v>
      </c>
      <c r="D73" s="92">
        <v>528</v>
      </c>
      <c r="E73" s="93">
        <v>0.2</v>
      </c>
      <c r="F73" s="94">
        <v>10</v>
      </c>
    </row>
    <row r="74" spans="3:6">
      <c r="C74" s="71" t="s">
        <v>274</v>
      </c>
      <c r="D74" s="92">
        <v>529</v>
      </c>
      <c r="E74" s="93">
        <v>0.35</v>
      </c>
      <c r="F74" s="94">
        <v>10</v>
      </c>
    </row>
    <row r="75" spans="3:6">
      <c r="C75" s="71" t="s">
        <v>275</v>
      </c>
      <c r="D75" s="92">
        <v>532</v>
      </c>
      <c r="E75" s="95">
        <v>0.25</v>
      </c>
      <c r="F75" s="94">
        <v>10</v>
      </c>
    </row>
    <row r="76" spans="3:6">
      <c r="C76" s="71" t="s">
        <v>276</v>
      </c>
      <c r="D76" s="92">
        <v>533</v>
      </c>
      <c r="E76" s="93">
        <v>0.15</v>
      </c>
      <c r="F76" s="94">
        <v>5</v>
      </c>
    </row>
    <row r="77" spans="3:6">
      <c r="C77" s="71" t="s">
        <v>277</v>
      </c>
      <c r="D77" s="92">
        <v>535</v>
      </c>
      <c r="E77" s="93">
        <v>0.2</v>
      </c>
      <c r="F77" s="94">
        <v>10</v>
      </c>
    </row>
    <row r="78" spans="3:6">
      <c r="C78" s="71" t="s">
        <v>278</v>
      </c>
      <c r="D78" s="92">
        <v>536</v>
      </c>
      <c r="E78" s="93">
        <v>0.4</v>
      </c>
      <c r="F78" s="94">
        <v>20</v>
      </c>
    </row>
    <row r="79" spans="3:6">
      <c r="C79" s="71" t="s">
        <v>279</v>
      </c>
      <c r="D79" s="92">
        <v>537</v>
      </c>
      <c r="E79" s="93">
        <v>0.4</v>
      </c>
      <c r="F79" s="94">
        <v>20</v>
      </c>
    </row>
    <row r="80" spans="3:6">
      <c r="C80" s="71" t="s">
        <v>280</v>
      </c>
      <c r="D80" s="92">
        <v>538</v>
      </c>
      <c r="E80" s="93">
        <v>0.45</v>
      </c>
      <c r="F80" s="94">
        <v>20</v>
      </c>
    </row>
    <row r="81" spans="3:6">
      <c r="C81" s="71" t="s">
        <v>281</v>
      </c>
      <c r="D81" s="92">
        <v>539</v>
      </c>
      <c r="E81" s="93">
        <v>0.4</v>
      </c>
      <c r="F81" s="94">
        <v>20</v>
      </c>
    </row>
    <row r="82" spans="3:6">
      <c r="C82" s="71" t="s">
        <v>282</v>
      </c>
      <c r="D82" s="92">
        <v>540</v>
      </c>
      <c r="E82" s="93">
        <v>0.25</v>
      </c>
      <c r="F82" s="94">
        <v>10</v>
      </c>
    </row>
    <row r="83" spans="3:6">
      <c r="C83" s="71" t="s">
        <v>283</v>
      </c>
      <c r="D83" s="92">
        <v>542</v>
      </c>
      <c r="E83" s="93">
        <v>0.35</v>
      </c>
      <c r="F83" s="94">
        <v>10</v>
      </c>
    </row>
    <row r="84" spans="3:6">
      <c r="C84" s="71" t="s">
        <v>284</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91EE4C-36D7-48EE-BF55-3A0350B6DF21}"/>
</file>

<file path=customXml/itemProps2.xml><?xml version="1.0" encoding="utf-8"?>
<ds:datastoreItem xmlns:ds="http://schemas.openxmlformats.org/officeDocument/2006/customXml" ds:itemID="{0551A01E-BF17-45E8-8C3D-260DAEE63C23}"/>
</file>

<file path=customXml/itemProps3.xml><?xml version="1.0" encoding="utf-8"?>
<ds:datastoreItem xmlns:ds="http://schemas.openxmlformats.org/officeDocument/2006/customXml" ds:itemID="{CECE6CD1-D2A2-480D-BB33-A3C71B3F7265}"/>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2018-10-30T02:52:22Z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