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6_HW_FM517/"/>
    </mc:Choice>
  </mc:AlternateContent>
  <xr:revisionPtr revIDLastSave="28" documentId="8_{5526BEA0-489A-4D15-9BC7-BA25A8470645}" xr6:coauthVersionLast="40" xr6:coauthVersionMax="40" xr10:uidLastSave="{BFAEDAE4-B19F-4608-BAD4-D9E2FBAE229D}"/>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<sst xmlns="http://schemas.openxmlformats.org/spreadsheetml/2006/main" count="263" uniqueCount="131">
  <si>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</si>
  <si>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</si>
  <si>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</si>
  <si>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</si>
  <si>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</si>
  <si>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</si>
  <si>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</si>
  <si>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</si>
  <si>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</si>
  <si>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</si>
  <si>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</si>
  <si>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</si>
  <si>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</si>
  <si>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</si>
  <si>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</si>
  <si>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</si>
  <si>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</si>
  <si>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</si>
  <si>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</si>
  <si>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</si>
  <si>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</si>
  <si>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</si>
  <si>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</si>
  <si>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</si>
  <si>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</si>
  <si>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</si>
  <si>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</si>
  <si>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</si>
  <si>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</si>
  <si>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</si>
  <si>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</si>
  <si>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</si>
  <si>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</si>
  <si>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</si>
  <si>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</si>
  <si>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</si>
  <si>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</si>
  <si>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</si>
  <si>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</si>
  <si>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</si>
  <si>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</si>
  <si>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</si>
  <si>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</si>
  <si>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</si>
  <si>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</si>
  <si>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</si>
  <si>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</si>
  <si>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FM 517 Widening and Access Management</t>
  </si>
  <si>
    <t>Data entered by the sponsors</t>
  </si>
  <si>
    <t>Application ID Number:</t>
  </si>
  <si>
    <t>Data populated/calculated based on inputs</t>
  </si>
  <si>
    <t>Sponsor ID Number (CSJ, etc.):</t>
  </si>
  <si>
    <t>1002-01-006</t>
  </si>
  <si>
    <t xml:space="preserve">HGAC regional travel demand model data provided by HGAC </t>
  </si>
  <si>
    <t>Project County</t>
  </si>
  <si>
    <t>Brazoria</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</si>
  <si>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</si>
  <si>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</si>
  <si>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</si>
  <si>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</si>
  <si>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</si>
  <si>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</si>
  <si>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</si>
  <si>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</si>
  <si>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</si>
  <si>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</si>
  <si>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</si>
  <si>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</si>
  <si>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</si>
  <si>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</si>
  <si>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</si>
  <si>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</si>
  <si>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</si>
  <si>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</si>
  <si>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</si>
  <si>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</si>
  <si>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</si>
  <si>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</si>
  <si>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</si>
  <si>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</si>
  <si>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</si>
  <si>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</si>
  <si>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</si>
  <si>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</si>
  <si>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</si>
  <si>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</si>
  <si>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</si>
  <si>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</si>
  <si>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</si>
  <si>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</si>
  <si>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</si>
  <si>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</si>
  <si>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</si>
  <si>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</si>
  <si>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</si>
  <si>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</si>
  <si>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</si>
  <si>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</si>
  <si>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</si>
  <si>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</si>
  <si>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</si>
  <si>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</si>
  <si>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</si>
  <si>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</si>
  <si>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</si>
  <si>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</si>
  <si>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</si>
  <si>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</si>
  <si>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</si>
  <si>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</si>
  <si>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</si>
  <si>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</si>
  <si>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</si>
  <si>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</si>
  <si>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Chambers</t>
  </si>
  <si>
    <t>Fort Bend</t>
  </si>
  <si>
    <t>Galveston</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</si>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</sst>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8" zoomScaleNormal="100" workbookViewId="0" xr3:uid="{51F8DEE0-4D01-5F28-A812-FC0BD7CAC4A5}">
      <selection activeCell="B17" sqref="B17"/>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2025</v>
      </c>
    </row>
    <row r="14" spans="1:5">
      <c r="A14" s="5" t="s">
        <v>59</v>
      </c>
      <c r="B14" s="5" t="s">
        <v>60</v>
      </c>
    </row>
    <row r="15" spans="1:5">
      <c r="A15" s="85" t="s">
        <v>61</v>
      </c>
      <c r="B15" s="8" t="s">
        <v>62</v>
      </c>
    </row>
    <row r="16" spans="1:5">
      <c r="A16" s="85" t="s">
        <v>63</v>
      </c>
      <c r="B16" s="8">
        <v>1.07</v>
      </c>
    </row>
    <row r="17" spans="1:2">
      <c r="A17" s="86" t="s">
        <v>64</v>
      </c>
      <c r="B17" s="8">
        <v>29</v>
      </c>
    </row>
    <row r="18" spans="1:2">
      <c r="A18" s="86" t="s">
        <v>65</v>
      </c>
      <c r="B18" s="8">
        <v>37</v>
      </c>
    </row>
    <row r="19" spans="1:2">
      <c r="A19" s="76" t="s">
        <v>66</v>
      </c>
      <c r="B19" s="77">
        <f>VLOOKUP(B14,'Service Life'!C6:D8,2,FALSE)</f>
        <v>20</v>
      </c>
    </row>
    <row r="21" spans="1:2">
      <c r="A21" s="81" t="s">
        <v>67</v>
      </c>
    </row>
    <row r="22" spans="1:2" ht="20.25" customHeight="1">
      <c r="A22" s="86" t="s">
        <v>68</v>
      </c>
      <c r="B22" s="95">
        <v>9460</v>
      </c>
    </row>
    <row r="23" spans="1:2" ht="30">
      <c r="A23" s="94" t="s">
        <v>69</v>
      </c>
      <c r="B23" s="96">
        <v>12787</v>
      </c>
    </row>
    <row r="24" spans="1:2" ht="30">
      <c r="A24" s="94" t="s">
        <v>70</v>
      </c>
      <c r="B24" s="96">
        <v>43125</v>
      </c>
    </row>
    <row r="27" spans="1:2" ht="18.75">
      <c r="A27" s="79" t="s">
        <v>71</v>
      </c>
      <c r="B27" s="80"/>
    </row>
    <row r="29" spans="1:2">
      <c r="A29" s="87" t="s">
        <v>72</v>
      </c>
    </row>
    <row r="30" spans="1:2">
      <c r="A30" s="84" t="s">
        <v>73</v>
      </c>
      <c r="B30" s="35">
        <f>'Benefit Calculations'!M37</f>
        <v>551.45412119719742</v>
      </c>
    </row>
    <row r="31" spans="1:2">
      <c r="A31" s="84" t="s">
        <v>74</v>
      </c>
      <c r="B31" s="35">
        <f>'Benefit Calculations'!Q37</f>
        <v>96.594908670843196</v>
      </c>
    </row>
    <row r="32" spans="1:2">
      <c r="B32" s="88"/>
    </row>
    <row r="33" spans="1:9">
      <c r="A33" s="87" t="s">
        <v>75</v>
      </c>
      <c r="B33" s="88"/>
    </row>
    <row r="34" spans="1:9">
      <c r="A34" s="84" t="s">
        <v>76</v>
      </c>
      <c r="B34" s="35">
        <f>$B$30+$B$31</f>
        <v>648.04902986804063</v>
      </c>
    </row>
    <row r="35" spans="1:9">
      <c r="I35" s="89"/>
    </row>
    <row r="36" spans="1:9">
      <c r="A36" s="87" t="s">
        <v>77</v>
      </c>
    </row>
    <row r="37" spans="1:9">
      <c r="A37" s="84" t="s">
        <v>78</v>
      </c>
      <c r="B37" s="91">
        <f>'Benefit Calculations'!K37</f>
        <v>0.23181692573904911</v>
      </c>
    </row>
    <row r="38" spans="1:9">
      <c r="A38" s="84" t="s">
        <v>79</v>
      </c>
      <c r="B38" s="91">
        <f>'Benefit Calculations'!O37</f>
        <v>0.16003658503356208</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6.1861101537899997E-2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1.42219997942E-2</v>
      </c>
      <c r="F4" s="54">
        <v>2018</v>
      </c>
      <c r="G4" s="63">
        <f>'Inputs &amp; Outputs'!B22</f>
        <v>9460</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6.0070000588899997E-2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1.2985499575700001E-2</v>
      </c>
      <c r="F5" s="54">
        <f t="shared" ref="F5:F36" si="2">F4+1</f>
        <v>2019</v>
      </c>
      <c r="G5" s="63">
        <f>G4+G4*H5</f>
        <v>9876.1556580354045</v>
      </c>
      <c r="H5" s="62">
        <f>$C$9</f>
        <v>4.3991084358922183E-2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10310.618454729887</v>
      </c>
      <c r="H6" s="62">
        <f t="shared" ref="H6:H11" si="7">$C$9</f>
        <v>4.3991084358922183E-2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10764.193740964569</v>
      </c>
      <c r="H7" s="62">
        <f t="shared" si="7"/>
        <v>4.3991084358922183E-2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11237.722295879123</v>
      </c>
      <c r="H8" s="62">
        <f t="shared" si="7"/>
        <v>4.3991084358922183E-2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4.3991084358922183E-2</v>
      </c>
      <c r="F9" s="54">
        <f t="shared" si="2"/>
        <v>2023</v>
      </c>
      <c r="G9" s="63">
        <f t="shared" si="6"/>
        <v>11732.081885399282</v>
      </c>
      <c r="H9" s="62">
        <f t="shared" si="7"/>
        <v>4.3991084358922183E-2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4.9828643118029703E-2</v>
      </c>
      <c r="F10" s="54">
        <f t="shared" si="2"/>
        <v>2024</v>
      </c>
      <c r="G10" s="63">
        <f t="shared" si="6"/>
        <v>12248.188889325666</v>
      </c>
      <c r="H10" s="62">
        <f t="shared" si="7"/>
        <v>4.3991084358922183E-2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5.7794747908502808E-2</v>
      </c>
      <c r="F11" s="54">
        <f t="shared" si="2"/>
        <v>2025</v>
      </c>
      <c r="G11" s="63">
        <f>'Inputs &amp; Outputs'!$B$23</f>
        <v>12787</v>
      </c>
      <c r="H11" s="62">
        <f t="shared" si="7"/>
        <v>4.3991084358922183E-2</v>
      </c>
      <c r="I11" s="54">
        <f>IF(AND(F11&gt;='Inputs &amp; Outputs'!B$13,F11&lt;'Inputs &amp; Outputs'!B$13+'Inputs &amp; Outputs'!B$19),1,0)</f>
        <v>1</v>
      </c>
      <c r="J11" s="55">
        <f>I11*'Inputs &amp; Outputs'!B$16*'Benefit Calculations'!G11*('Benefit Calculations'!C$4-'Benefit Calculations'!C$5)</f>
        <v>24.506004383303416</v>
      </c>
      <c r="K11" s="71">
        <f t="shared" si="3"/>
        <v>7.0234496415929821E-3</v>
      </c>
      <c r="L11" s="56">
        <f>K11*'Assumed Values'!$C$8</f>
        <v>52.732059909080107</v>
      </c>
      <c r="M11" s="57">
        <f t="shared" si="0"/>
        <v>32.838876697422428</v>
      </c>
      <c r="N11" s="55">
        <f>I11*'Inputs &amp; Outputs'!B$16*'Benefit Calculations'!G11*('Benefit Calculations'!D$4-'Benefit Calculations'!D$5)</f>
        <v>16.917907274536653</v>
      </c>
      <c r="O11" s="71">
        <f t="shared" si="4"/>
        <v>4.8486920970602764E-3</v>
      </c>
      <c r="P11" s="56">
        <f>ABS(O11*'Assumed Values'!$C$7)</f>
        <v>9.2367584448998272</v>
      </c>
      <c r="Q11" s="57">
        <f t="shared" si="1"/>
        <v>5.7521889374116846</v>
      </c>
      <c r="T11" s="68">
        <f t="shared" si="5"/>
        <v>6.3715611396588882E-3</v>
      </c>
      <c r="U11" s="69">
        <f>T11*'Assumed Values'!$D$8</f>
        <v>0</v>
      </c>
    </row>
    <row r="12" spans="2:21">
      <c r="C12" s="38"/>
      <c r="F12" s="54">
        <f t="shared" si="2"/>
        <v>2026</v>
      </c>
      <c r="G12" s="63">
        <f t="shared" si="6"/>
        <v>13424.158859550245</v>
      </c>
      <c r="H12" s="62">
        <f>$C$10</f>
        <v>4.9828643118029703E-2</v>
      </c>
      <c r="I12" s="54">
        <f>IF(AND(F12&gt;='Inputs &amp; Outputs'!B$13,F12&lt;'Inputs &amp; Outputs'!B$13+'Inputs &amp; Outputs'!B$19),1,0)</f>
        <v>1</v>
      </c>
      <c r="J12" s="55">
        <f>I12*'Inputs &amp; Outputs'!B$16*'Benefit Calculations'!G12*('Benefit Calculations'!C$4-'Benefit Calculations'!C$5)</f>
        <v>25.727105329967912</v>
      </c>
      <c r="K12" s="71">
        <f t="shared" si="3"/>
        <v>7.3734186072413723E-3</v>
      </c>
      <c r="L12" s="56">
        <f>K12*'Assumed Values'!$C$8</f>
        <v>55.35962690316822</v>
      </c>
      <c r="M12" s="57">
        <f t="shared" si="0"/>
        <v>32.219806882967546</v>
      </c>
      <c r="N12" s="55">
        <f>I12*'Inputs &amp; Outputs'!B$16*'Benefit Calculations'!G12*('Benefit Calculations'!D$4-'Benefit Calculations'!D$5)</f>
        <v>17.760903638423457</v>
      </c>
      <c r="O12" s="71">
        <f t="shared" si="4"/>
        <v>5.0902958451539042E-3</v>
      </c>
      <c r="P12" s="56">
        <f>ABS(O12*'Assumed Values'!$C$7)</f>
        <v>9.6970135850181869</v>
      </c>
      <c r="Q12" s="57">
        <f t="shared" si="1"/>
        <v>5.6437501935714485</v>
      </c>
      <c r="T12" s="68">
        <f t="shared" si="5"/>
        <v>6.6890473857916565E-3</v>
      </c>
      <c r="U12" s="69">
        <f>T12*'Assumed Values'!$D$8</f>
        <v>0</v>
      </c>
    </row>
    <row r="13" spans="2:21">
      <c r="C13" s="38"/>
      <c r="F13" s="54">
        <f t="shared" si="2"/>
        <v>2027</v>
      </c>
      <c r="G13" s="63">
        <f t="shared" si="6"/>
        <v>14093.066480522511</v>
      </c>
      <c r="H13" s="62">
        <f t="shared" ref="H13:H36" si="8">$C$10</f>
        <v>4.9828643118029703E-2</v>
      </c>
      <c r="I13" s="54">
        <f>IF(AND(F13&gt;='Inputs &amp; Outputs'!B$13,F13&lt;'Inputs &amp; Outputs'!B$13+'Inputs &amp; Outputs'!B$19),1,0)</f>
        <v>1</v>
      </c>
      <c r="J13" s="55">
        <f>I13*'Inputs &amp; Outputs'!B$16*'Benefit Calculations'!G13*('Benefit Calculations'!C$4-'Benefit Calculations'!C$5)</f>
        <v>27.009052079914849</v>
      </c>
      <c r="K13" s="71">
        <f t="shared" si="3"/>
        <v>7.7408260515814441E-3</v>
      </c>
      <c r="L13" s="56">
        <f>K13*'Assumed Values'!$C$8</f>
        <v>58.118121995273484</v>
      </c>
      <c r="M13" s="57">
        <f t="shared" si="0"/>
        <v>31.612407608851196</v>
      </c>
      <c r="N13" s="55">
        <f>I13*'Inputs &amp; Outputs'!B$16*'Benefit Calculations'!G13*('Benefit Calculations'!D$4-'Benefit Calculations'!D$5)</f>
        <v>18.645905367276178</v>
      </c>
      <c r="O13" s="71">
        <f t="shared" si="4"/>
        <v>5.3439383801872674E-3</v>
      </c>
      <c r="P13" s="56">
        <f>ABS(O13*'Assumed Values'!$C$7)</f>
        <v>10.180202614256745</v>
      </c>
      <c r="Q13" s="57">
        <f t="shared" si="1"/>
        <v>5.537355708237599</v>
      </c>
      <c r="T13" s="68">
        <f t="shared" si="5"/>
        <v>7.0223535407778611E-3</v>
      </c>
      <c r="U13" s="69">
        <f>T13*'Assumed Values'!$D$8</f>
        <v>0</v>
      </c>
    </row>
    <row r="14" spans="2:21">
      <c r="C14" s="38"/>
      <c r="F14" s="54">
        <f t="shared" si="2"/>
        <v>2028</v>
      </c>
      <c r="G14" s="63">
        <f t="shared" si="6"/>
        <v>14795.304860619135</v>
      </c>
      <c r="H14" s="62">
        <f t="shared" si="8"/>
        <v>4.9828643118029703E-2</v>
      </c>
      <c r="I14" s="54">
        <f>IF(AND(F14&gt;='Inputs &amp; Outputs'!B$13,F14&lt;'Inputs &amp; Outputs'!B$13+'Inputs &amp; Outputs'!B$19),1,0)</f>
        <v>1</v>
      </c>
      <c r="J14" s="55">
        <f>I14*'Inputs &amp; Outputs'!B$16*'Benefit Calculations'!G14*('Benefit Calculations'!C$4-'Benefit Calculations'!C$5)</f>
        <v>28.3548764969612</v>
      </c>
      <c r="K14" s="71">
        <f t="shared" si="3"/>
        <v>8.1265409103444403E-3</v>
      </c>
      <c r="L14" s="56">
        <f>K14*'Assumed Values'!$C$8</f>
        <v>61.014069154866057</v>
      </c>
      <c r="M14" s="57">
        <f t="shared" si="0"/>
        <v>31.016458865134879</v>
      </c>
      <c r="N14" s="55">
        <f>I14*'Inputs &amp; Outputs'!B$16*'Benefit Calculations'!G14*('Benefit Calculations'!D$4-'Benefit Calculations'!D$5)</f>
        <v>19.575005531434737</v>
      </c>
      <c r="O14" s="71">
        <f t="shared" si="4"/>
        <v>5.6102195785783611E-3</v>
      </c>
      <c r="P14" s="56">
        <f>ABS(O14*'Assumed Values'!$C$7)</f>
        <v>10.687468297191778</v>
      </c>
      <c r="Q14" s="57">
        <f t="shared" si="1"/>
        <v>5.4329669435896779</v>
      </c>
      <c r="T14" s="68">
        <f t="shared" si="5"/>
        <v>7.3722678892099124E-3</v>
      </c>
      <c r="U14" s="69">
        <f>T14*'Assumed Values'!$D$8</f>
        <v>0</v>
      </c>
    </row>
    <row r="15" spans="2:21">
      <c r="C15" s="1"/>
      <c r="F15" s="54">
        <f t="shared" si="2"/>
        <v>2029</v>
      </c>
      <c r="G15" s="63">
        <f t="shared" si="6"/>
        <v>15532.534826341376</v>
      </c>
      <c r="H15" s="62">
        <f t="shared" si="8"/>
        <v>4.9828643118029703E-2</v>
      </c>
      <c r="I15" s="54">
        <f>IF(AND(F15&gt;='Inputs &amp; Outputs'!B$13,F15&lt;'Inputs &amp; Outputs'!B$13+'Inputs &amp; Outputs'!B$19),1,0)</f>
        <v>1</v>
      </c>
      <c r="J15" s="55">
        <f>I15*'Inputs &amp; Outputs'!B$16*'Benefit Calculations'!G15*('Benefit Calculations'!C$4-'Benefit Calculations'!C$5)</f>
        <v>29.767761518584091</v>
      </c>
      <c r="K15" s="71">
        <f t="shared" si="3"/>
        <v>8.5314754171500629E-3</v>
      </c>
      <c r="L15" s="56">
        <f>K15*'Assumed Values'!$C$8</f>
        <v>64.054317431962673</v>
      </c>
      <c r="M15" s="57">
        <f t="shared" si="0"/>
        <v>30.431744789449287</v>
      </c>
      <c r="N15" s="55">
        <f>I15*'Inputs &amp; Outputs'!B$16*'Benefit Calculations'!G15*('Benefit Calculations'!D$4-'Benefit Calculations'!D$5)</f>
        <v>20.550401496094057</v>
      </c>
      <c r="O15" s="71">
        <f t="shared" si="4"/>
        <v>5.8897692077731247E-3</v>
      </c>
      <c r="P15" s="56">
        <f>ABS(O15*'Assumed Values'!$C$7)</f>
        <v>11.220010340807802</v>
      </c>
      <c r="Q15" s="57">
        <f t="shared" si="1"/>
        <v>5.3305460883120181</v>
      </c>
      <c r="T15" s="68">
        <f t="shared" si="5"/>
        <v>7.7396179948318643E-3</v>
      </c>
      <c r="U15" s="69">
        <f>T15*'Assumed Values'!$D$8</f>
        <v>0</v>
      </c>
    </row>
    <row r="16" spans="2:21">
      <c r="C16" s="1"/>
      <c r="F16" s="54">
        <f t="shared" si="2"/>
        <v>2030</v>
      </c>
      <c r="G16" s="63">
        <f t="shared" si="6"/>
        <v>16306.499960921508</v>
      </c>
      <c r="H16" s="62">
        <f t="shared" si="8"/>
        <v>4.9828643118029703E-2</v>
      </c>
      <c r="I16" s="54">
        <f>IF(AND(F16&gt;='Inputs &amp; Outputs'!B$13,F16&lt;'Inputs &amp; Outputs'!B$13+'Inputs &amp; Outputs'!B$19),1,0)</f>
        <v>1</v>
      </c>
      <c r="J16" s="55">
        <f>I16*'Inputs &amp; Outputs'!B$16*'Benefit Calculations'!G16*('Benefit Calculations'!C$4-'Benefit Calculations'!C$5)</f>
        <v>31.251048683716235</v>
      </c>
      <c r="K16" s="71">
        <f t="shared" si="3"/>
        <v>8.956587260981478E-3</v>
      </c>
      <c r="L16" s="56">
        <f>K16*'Assumed Values'!$C$8</f>
        <v>67.246057155448938</v>
      </c>
      <c r="M16" s="57">
        <f t="shared" si="0"/>
        <v>29.858053588805348</v>
      </c>
      <c r="N16" s="55">
        <f>I16*'Inputs &amp; Outputs'!B$16*'Benefit Calculations'!G16*('Benefit Calculations'!D$4-'Benefit Calculations'!D$5)</f>
        <v>21.574400118175152</v>
      </c>
      <c r="O16" s="71">
        <f t="shared" si="4"/>
        <v>6.1832484156748128E-3</v>
      </c>
      <c r="P16" s="56">
        <f>ABS(O16*'Assumed Values'!$C$7)</f>
        <v>11.779088231860518</v>
      </c>
      <c r="Q16" s="57">
        <f t="shared" si="1"/>
        <v>5.2300560438978767</v>
      </c>
      <c r="T16" s="68">
        <f t="shared" si="5"/>
        <v>8.1252726577662211E-3</v>
      </c>
      <c r="U16" s="69">
        <f>T16*'Assumed Values'!$D$8</f>
        <v>0</v>
      </c>
    </row>
    <row r="17" spans="3:21">
      <c r="C17" s="1"/>
      <c r="F17" s="54">
        <f t="shared" si="2"/>
        <v>2031</v>
      </c>
      <c r="G17" s="63">
        <f t="shared" si="6"/>
        <v>17119.030727978432</v>
      </c>
      <c r="H17" s="62">
        <f t="shared" si="8"/>
        <v>4.9828643118029703E-2</v>
      </c>
      <c r="I17" s="54">
        <f>IF(AND(F17&gt;='Inputs &amp; Outputs'!B$13,F17&lt;'Inputs &amp; Outputs'!B$13+'Inputs &amp; Outputs'!B$19),1,0)</f>
        <v>1</v>
      </c>
      <c r="J17" s="55">
        <f>I17*'Inputs &amp; Outputs'!B$16*'Benefit Calculations'!G17*('Benefit Calculations'!C$4-'Benefit Calculations'!C$5)</f>
        <v>32.808246035641304</v>
      </c>
      <c r="K17" s="71">
        <f t="shared" si="3"/>
        <v>9.4028818511644151E-3</v>
      </c>
      <c r="L17" s="56">
        <f>K17*'Assumed Values'!$C$8</f>
        <v>70.596836938542424</v>
      </c>
      <c r="M17" s="57">
        <f t="shared" si="0"/>
        <v>29.295177462879376</v>
      </c>
      <c r="N17" s="55">
        <f>I17*'Inputs &amp; Outputs'!B$16*'Benefit Calculations'!G17*('Benefit Calculations'!D$4-'Benefit Calculations'!D$5)</f>
        <v>22.649423202149279</v>
      </c>
      <c r="O17" s="71">
        <f t="shared" si="4"/>
        <v>6.4913512942895955E-3</v>
      </c>
      <c r="P17" s="56">
        <f>ABS(O17*'Assumed Values'!$C$7)</f>
        <v>12.36602421562168</v>
      </c>
      <c r="Q17" s="57">
        <f t="shared" si="1"/>
        <v>5.1314604112117372</v>
      </c>
      <c r="T17" s="68">
        <f t="shared" si="5"/>
        <v>8.5301439692667385E-3</v>
      </c>
      <c r="U17" s="69">
        <f>T17*'Assumed Values'!$D$8</f>
        <v>0</v>
      </c>
    </row>
    <row r="18" spans="3:21">
      <c r="F18" s="54">
        <f t="shared" si="2"/>
        <v>2032</v>
      </c>
      <c r="G18" s="63">
        <f t="shared" si="6"/>
        <v>17972.048800649452</v>
      </c>
      <c r="H18" s="62">
        <f t="shared" si="8"/>
        <v>4.9828643118029703E-2</v>
      </c>
      <c r="I18" s="54">
        <f>IF(AND(F18&gt;='Inputs &amp; Outputs'!B$13,F18&lt;'Inputs &amp; Outputs'!B$13+'Inputs &amp; Outputs'!B$19),1,0)</f>
        <v>1</v>
      </c>
      <c r="J18" s="55">
        <f>I18*'Inputs &amp; Outputs'!B$16*'Benefit Calculations'!G18*('Benefit Calculations'!C$4-'Benefit Calculations'!C$5)</f>
        <v>34.443036418679789</v>
      </c>
      <c r="K18" s="71">
        <f t="shared" si="3"/>
        <v>9.8714146952070866E-3</v>
      </c>
      <c r="L18" s="56">
        <f>K18*'Assumed Values'!$C$8</f>
        <v>74.114581531614803</v>
      </c>
      <c r="M18" s="57">
        <f t="shared" si="0"/>
        <v>28.742912528744434</v>
      </c>
      <c r="N18" s="55">
        <f>I18*'Inputs &amp; Outputs'!B$16*'Benefit Calculations'!G18*('Benefit Calculations'!D$4-'Benefit Calculations'!D$5)</f>
        <v>23.778013227718397</v>
      </c>
      <c r="O18" s="71">
        <f t="shared" si="4"/>
        <v>6.8148065212865119E-3</v>
      </c>
      <c r="P18" s="56">
        <f>ABS(O18*'Assumed Values'!$C$7)</f>
        <v>12.982206423050805</v>
      </c>
      <c r="Q18" s="57">
        <f t="shared" si="1"/>
        <v>5.034723477304957</v>
      </c>
      <c r="T18" s="68">
        <f t="shared" si="5"/>
        <v>8.9551894688567439E-3</v>
      </c>
      <c r="U18" s="69">
        <f>T18*'Assumed Values'!$D$8</f>
        <v>0</v>
      </c>
    </row>
    <row r="19" spans="3:21">
      <c r="F19" s="54">
        <f t="shared" si="2"/>
        <v>2033</v>
      </c>
      <c r="G19" s="63">
        <f t="shared" si="6"/>
        <v>18867.571606436828</v>
      </c>
      <c r="H19" s="62">
        <f t="shared" si="8"/>
        <v>4.9828643118029703E-2</v>
      </c>
      <c r="I19" s="54">
        <f>IF(AND(F19&gt;='Inputs &amp; Outputs'!B$13,F19&lt;'Inputs &amp; Outputs'!B$13+'Inputs &amp; Outputs'!B$19),1,0)</f>
        <v>1</v>
      </c>
      <c r="J19" s="55">
        <f>I19*'Inputs &amp; Outputs'!B$16*'Benefit Calculations'!G19*('Benefit Calculations'!C$4-'Benefit Calculations'!C$5)</f>
        <v>36.159286188287481</v>
      </c>
      <c r="K19" s="71">
        <f t="shared" si="3"/>
        <v>1.0363293895124633E-2</v>
      </c>
      <c r="L19" s="56">
        <f>K19*'Assumed Values'!$C$8</f>
        <v>77.807610564595748</v>
      </c>
      <c r="M19" s="57">
        <f t="shared" si="0"/>
        <v>28.201058747020543</v>
      </c>
      <c r="N19" s="55">
        <f>I19*'Inputs &amp; Outputs'!B$16*'Benefit Calculations'!G19*('Benefit Calculations'!D$4-'Benefit Calculations'!D$5)</f>
        <v>24.962839362898162</v>
      </c>
      <c r="O19" s="71">
        <f t="shared" si="4"/>
        <v>7.1543790833541177E-3</v>
      </c>
      <c r="P19" s="56">
        <f>ABS(O19*'Assumed Values'!$C$7)</f>
        <v>13.629092153789594</v>
      </c>
      <c r="Q19" s="57">
        <f t="shared" si="1"/>
        <v>4.9398102024799533</v>
      </c>
      <c r="T19" s="68">
        <f t="shared" si="5"/>
        <v>9.4014144089547436E-3</v>
      </c>
      <c r="U19" s="69">
        <f>T19*'Assumed Values'!$D$8</f>
        <v>0</v>
      </c>
    </row>
    <row r="20" spans="3:21">
      <c r="F20" s="54">
        <f t="shared" si="2"/>
        <v>2034</v>
      </c>
      <c r="G20" s="63">
        <f t="shared" si="6"/>
        <v>19807.717098517838</v>
      </c>
      <c r="H20" s="62">
        <f t="shared" si="8"/>
        <v>4.9828643118029703E-2</v>
      </c>
      <c r="I20" s="54">
        <f>IF(AND(F20&gt;='Inputs &amp; Outputs'!B$13,F20&lt;'Inputs &amp; Outputs'!B$13+'Inputs &amp; Outputs'!B$19),1,0)</f>
        <v>1</v>
      </c>
      <c r="J20" s="55">
        <f>I20*'Inputs &amp; Outputs'!B$16*'Benefit Calculations'!G20*('Benefit Calculations'!C$4-'Benefit Calculations'!C$5)</f>
        <v>37.961054355166354</v>
      </c>
      <c r="K20" s="71">
        <f t="shared" si="3"/>
        <v>1.0879682768152054E-2</v>
      </c>
      <c r="L20" s="56">
        <f>K20*'Assumed Values'!$C$8</f>
        <v>81.684658223285624</v>
      </c>
      <c r="M20" s="57">
        <f t="shared" si="0"/>
        <v>27.669419849417217</v>
      </c>
      <c r="N20" s="55">
        <f>I20*'Inputs &amp; Outputs'!B$16*'Benefit Calculations'!G20*('Benefit Calculations'!D$4-'Benefit Calculations'!D$5)</f>
        <v>26.206703776724719</v>
      </c>
      <c r="O20" s="71">
        <f t="shared" si="4"/>
        <v>7.5108720854296668E-3</v>
      </c>
      <c r="P20" s="56">
        <f>ABS(O20*'Assumed Values'!$C$7)</f>
        <v>14.308211322743515</v>
      </c>
      <c r="Q20" s="57">
        <f t="shared" si="1"/>
        <v>4.8466862075982524</v>
      </c>
      <c r="T20" s="68">
        <f t="shared" si="5"/>
        <v>9.8698741323432516E-3</v>
      </c>
      <c r="U20" s="69">
        <f>T20*'Assumed Values'!$D$8</f>
        <v>0</v>
      </c>
    </row>
    <row r="21" spans="3:21">
      <c r="F21" s="54">
        <f t="shared" si="2"/>
        <v>2035</v>
      </c>
      <c r="G21" s="63">
        <f t="shared" si="6"/>
        <v>20794.708764802777</v>
      </c>
      <c r="H21" s="62">
        <f t="shared" si="8"/>
        <v>4.9828643118029703E-2</v>
      </c>
      <c r="I21" s="54">
        <f>IF(AND(F21&gt;='Inputs &amp; Outputs'!B$13,F21&lt;'Inputs &amp; Outputs'!B$13+'Inputs &amp; Outputs'!B$19),1,0)</f>
        <v>1</v>
      </c>
      <c r="J21" s="55">
        <f>I21*'Inputs &amp; Outputs'!B$16*'Benefit Calculations'!G21*('Benefit Calculations'!C$4-'Benefit Calculations'!C$5)</f>
        <v>39.852602185014064</v>
      </c>
      <c r="K21" s="71">
        <f t="shared" si="3"/>
        <v>1.1421802598043679E-2</v>
      </c>
      <c r="L21" s="56">
        <f>K21*'Assumed Values'!$C$8</f>
        <v>85.754893906111946</v>
      </c>
      <c r="M21" s="57">
        <f t="shared" si="0"/>
        <v>27.147803267641823</v>
      </c>
      <c r="N21" s="55">
        <f>I21*'Inputs &amp; Outputs'!B$16*'Benefit Calculations'!G21*('Benefit Calculations'!D$4-'Benefit Calculations'!D$5)</f>
        <v>27.512548266515054</v>
      </c>
      <c r="O21" s="71">
        <f t="shared" si="4"/>
        <v>7.8851286500797122E-3</v>
      </c>
      <c r="P21" s="56">
        <f>ABS(O21*'Assumed Values'!$C$7)</f>
        <v>15.021170078401852</v>
      </c>
      <c r="Q21" s="57">
        <f t="shared" si="1"/>
        <v>4.7553177616277962</v>
      </c>
      <c r="T21" s="68">
        <f t="shared" si="5"/>
        <v>1.0361676568103656E-2</v>
      </c>
      <c r="U21" s="69">
        <f>T21*'Assumed Values'!$D$8</f>
        <v>0</v>
      </c>
    </row>
    <row r="22" spans="3:21">
      <c r="F22" s="54">
        <f t="shared" si="2"/>
        <v>2036</v>
      </c>
      <c r="G22" s="63">
        <f t="shared" si="6"/>
        <v>21830.8808865875</v>
      </c>
      <c r="H22" s="62">
        <f t="shared" si="8"/>
        <v>4.9828643118029703E-2</v>
      </c>
      <c r="I22" s="54">
        <f>IF(AND(F22&gt;='Inputs &amp; Outputs'!B$13,F22&lt;'Inputs &amp; Outputs'!B$13+'Inputs &amp; Outputs'!B$19),1,0)</f>
        <v>1</v>
      </c>
      <c r="J22" s="55">
        <f>I22*'Inputs &amp; Outputs'!B$16*'Benefit Calculations'!G22*('Benefit Calculations'!C$4-'Benefit Calculations'!C$5)</f>
        <v>41.838403276615942</v>
      </c>
      <c r="K22" s="71">
        <f t="shared" si="3"/>
        <v>1.1990935523466183E-2</v>
      </c>
      <c r="L22" s="56">
        <f>K22*'Assumed Values'!$C$8</f>
        <v>90.027943910184106</v>
      </c>
      <c r="M22" s="57">
        <f t="shared" si="0"/>
        <v>26.636020063648253</v>
      </c>
      <c r="N22" s="55">
        <f>I22*'Inputs &amp; Outputs'!B$16*'Benefit Calculations'!G22*('Benefit Calculations'!D$4-'Benefit Calculations'!D$5)</f>
        <v>28.883461215354803</v>
      </c>
      <c r="O22" s="71">
        <f t="shared" si="4"/>
        <v>8.2780339115242872E-3</v>
      </c>
      <c r="P22" s="56">
        <f>ABS(O22*'Assumed Values'!$C$7)</f>
        <v>15.769654601453768</v>
      </c>
      <c r="Q22" s="57">
        <f t="shared" si="1"/>
        <v>4.6656717694250247</v>
      </c>
      <c r="T22" s="68">
        <f t="shared" si="5"/>
        <v>1.0877984851920144E-2</v>
      </c>
      <c r="U22" s="69">
        <f>T22*'Assumed Values'!$D$8</f>
        <v>0</v>
      </c>
    </row>
    <row r="23" spans="3:21">
      <c r="F23" s="54">
        <f t="shared" si="2"/>
        <v>2037</v>
      </c>
      <c r="G23" s="63">
        <f t="shared" si="6"/>
        <v>22918.684059237483</v>
      </c>
      <c r="H23" s="62">
        <f t="shared" si="8"/>
        <v>4.9828643118029703E-2</v>
      </c>
      <c r="I23" s="54">
        <f>IF(AND(F23&gt;='Inputs &amp; Outputs'!B$13,F23&lt;'Inputs &amp; Outputs'!B$13+'Inputs &amp; Outputs'!B$19),1,0)</f>
        <v>1</v>
      </c>
      <c r="J23" s="55">
        <f>I23*'Inputs &amp; Outputs'!B$16*'Benefit Calculations'!G23*('Benefit Calculations'!C$4-'Benefit Calculations'!C$5)</f>
        <v>43.92315414211464</v>
      </c>
      <c r="K23" s="71">
        <f t="shared" si="3"/>
        <v>1.2588427570316281E-2</v>
      </c>
      <c r="L23" s="56">
        <f>K23*'Assumed Values'!$C$8</f>
        <v>94.513914197934639</v>
      </c>
      <c r="M23" s="57">
        <f t="shared" si="0"/>
        <v>26.133884861200421</v>
      </c>
      <c r="N23" s="55">
        <f>I23*'Inputs &amp; Outputs'!B$16*'Benefit Calculations'!G23*('Benefit Calculations'!D$4-'Benefit Calculations'!D$5)</f>
        <v>30.322684896268168</v>
      </c>
      <c r="O23" s="71">
        <f t="shared" si="4"/>
        <v>8.6905171090205773E-3</v>
      </c>
      <c r="P23" s="56">
        <f>ABS(O23*'Assumed Values'!$C$7)</f>
        <v>16.555435092684199</v>
      </c>
      <c r="Q23" s="57">
        <f t="shared" si="1"/>
        <v>4.5777157597472611</v>
      </c>
      <c r="T23" s="68">
        <f t="shared" si="5"/>
        <v>1.1420020076949805E-2</v>
      </c>
      <c r="U23" s="69">
        <f>T23*'Assumed Values'!$D$8</f>
        <v>0</v>
      </c>
    </row>
    <row r="24" spans="3:21">
      <c r="F24" s="54">
        <f t="shared" si="2"/>
        <v>2038</v>
      </c>
      <c r="G24" s="63">
        <f t="shared" si="6"/>
        <v>24060.690987960104</v>
      </c>
      <c r="H24" s="62">
        <f t="shared" si="8"/>
        <v>4.9828643118029703E-2</v>
      </c>
      <c r="I24" s="54">
        <f>IF(AND(F24&gt;='Inputs &amp; Outputs'!B$13,F24&lt;'Inputs &amp; Outputs'!B$13+'Inputs &amp; Outputs'!B$19),1,0)</f>
        <v>1</v>
      </c>
      <c r="J24" s="55">
        <f>I24*'Inputs &amp; Outputs'!B$16*'Benefit Calculations'!G24*('Benefit Calculations'!C$4-'Benefit Calculations'!C$5)</f>
        <v>46.111785314480279</v>
      </c>
      <c r="K24" s="71">
        <f t="shared" si="3"/>
        <v>1.3215691835134739E-2</v>
      </c>
      <c r="L24" s="56">
        <f>K24*'Assumed Values'!$C$8</f>
        <v>99.223414298191614</v>
      </c>
      <c r="M24" s="57">
        <f t="shared" si="0"/>
        <v>25.641215778726039</v>
      </c>
      <c r="N24" s="55">
        <f>I24*'Inputs &amp; Outputs'!B$16*'Benefit Calculations'!G24*('Benefit Calculations'!D$4-'Benefit Calculations'!D$5)</f>
        <v>31.833623140344784</v>
      </c>
      <c r="O24" s="71">
        <f t="shared" si="4"/>
        <v>9.1235537845570942E-3</v>
      </c>
      <c r="P24" s="56">
        <f>ABS(O24*'Assumed Values'!$C$7)</f>
        <v>17.380369959581266</v>
      </c>
      <c r="Q24" s="57">
        <f t="shared" si="1"/>
        <v>4.4914178734911099</v>
      </c>
      <c r="T24" s="68">
        <f t="shared" si="5"/>
        <v>1.1989064181764871E-2</v>
      </c>
      <c r="U24" s="69">
        <f>T24*'Assumed Values'!$D$8</f>
        <v>0</v>
      </c>
    </row>
    <row r="25" spans="3:21">
      <c r="F25" s="54">
        <f t="shared" si="2"/>
        <v>2039</v>
      </c>
      <c r="G25" s="63">
        <f t="shared" si="6"/>
        <v>25259.602572372361</v>
      </c>
      <c r="H25" s="62">
        <f t="shared" si="8"/>
        <v>4.9828643118029703E-2</v>
      </c>
      <c r="I25" s="54">
        <f>IF(AND(F25&gt;='Inputs &amp; Outputs'!B$13,F25&lt;'Inputs &amp; Outputs'!B$13+'Inputs &amp; Outputs'!B$19),1,0)</f>
        <v>1</v>
      </c>
      <c r="J25" s="55">
        <f>I25*'Inputs &amp; Outputs'!B$16*'Benefit Calculations'!G25*('Benefit Calculations'!C$4-'Benefit Calculations'!C$5)</f>
        <v>48.409473008450725</v>
      </c>
      <c r="K25" s="71">
        <f t="shared" si="3"/>
        <v>1.3874211827145527E-2</v>
      </c>
      <c r="L25" s="56">
        <f>K25*'Assumed Values'!$C$8</f>
        <v>104.16758239820861</v>
      </c>
      <c r="M25" s="57">
        <f t="shared" si="0"/>
        <v>25.157834363436045</v>
      </c>
      <c r="N25" s="55">
        <f>I25*'Inputs &amp; Outputs'!B$16*'Benefit Calculations'!G25*('Benefit Calculations'!D$4-'Benefit Calculations'!D$5)</f>
        <v>33.419849386958873</v>
      </c>
      <c r="O25" s="71">
        <f t="shared" si="4"/>
        <v>9.5781680900559399E-3</v>
      </c>
      <c r="P25" s="56">
        <f>ABS(O25*'Assumed Values'!$C$7)</f>
        <v>18.246410211556565</v>
      </c>
      <c r="Q25" s="57">
        <f t="shared" si="1"/>
        <v>4.4067468521525592</v>
      </c>
      <c r="T25" s="68">
        <f t="shared" si="5"/>
        <v>1.2586462982197188E-2</v>
      </c>
      <c r="U25" s="69">
        <f>T25*'Assumed Values'!$D$8</f>
        <v>0</v>
      </c>
    </row>
    <row r="26" spans="3:21">
      <c r="F26" s="54">
        <f t="shared" si="2"/>
        <v>2040</v>
      </c>
      <c r="G26" s="63">
        <f t="shared" si="6"/>
        <v>26518.25429425437</v>
      </c>
      <c r="H26" s="62">
        <f t="shared" si="8"/>
        <v>4.9828643118029703E-2</v>
      </c>
      <c r="I26" s="54">
        <f>IF(AND(F26&gt;='Inputs &amp; Outputs'!B$13,F26&lt;'Inputs &amp; Outputs'!B$13+'Inputs &amp; Outputs'!B$19),1,0)</f>
        <v>1</v>
      </c>
      <c r="J26" s="55">
        <f>I26*'Inputs &amp; Outputs'!B$16*'Benefit Calculations'!G26*('Benefit Calculations'!C$4-'Benefit Calculations'!C$5)</f>
        <v>50.821651362520704</v>
      </c>
      <c r="K26" s="71">
        <f t="shared" si="3"/>
        <v>1.4565544976824307E-2</v>
      </c>
      <c r="L26" s="56">
        <f>K26*'Assumed Values'!$C$8</f>
        <v>109.3581116859969</v>
      </c>
      <c r="M26" s="57">
        <f t="shared" si="0"/>
        <v>24.683565526686174</v>
      </c>
      <c r="N26" s="55">
        <f>I26*'Inputs &amp; Outputs'!B$16*'Benefit Calculations'!G26*('Benefit Calculations'!D$4-'Benefit Calculations'!D$5)</f>
        <v>35.085115135119956</v>
      </c>
      <c r="O26" s="71">
        <f t="shared" si="4"/>
        <v>1.0055435209539838E-2</v>
      </c>
      <c r="P26" s="56">
        <f>ABS(O26*'Assumed Values'!$C$7)</f>
        <v>19.155604074173393</v>
      </c>
      <c r="Q26" s="57">
        <f t="shared" si="1"/>
        <v>4.3236720265046458</v>
      </c>
      <c r="T26" s="68">
        <f t="shared" si="5"/>
        <v>1.3213629354255383E-2</v>
      </c>
      <c r="U26" s="69">
        <f>T26*'Assumed Values'!$D$8</f>
        <v>0</v>
      </c>
    </row>
    <row r="27" spans="3:21">
      <c r="F27" s="54">
        <f t="shared" si="2"/>
        <v>2041</v>
      </c>
      <c r="G27" s="63">
        <f t="shared" si="6"/>
        <v>27839.622923595929</v>
      </c>
      <c r="H27" s="62">
        <f t="shared" si="8"/>
        <v>4.9828643118029703E-2</v>
      </c>
      <c r="I27" s="54">
        <f>IF(AND(F27&gt;='Inputs &amp; Outputs'!B$13,F27&lt;'Inputs &amp; Outputs'!B$13+'Inputs &amp; Outputs'!B$19),1,0)</f>
        <v>1</v>
      </c>
      <c r="J27" s="55">
        <f>I27*'Inputs &amp; Outputs'!B$16*'Benefit Calculations'!G27*('Benefit Calculations'!C$4-'Benefit Calculations'!C$5)</f>
        <v>53.354025290932675</v>
      </c>
      <c r="K27" s="71">
        <f t="shared" si="3"/>
        <v>1.5291326319294096E-2</v>
      </c>
      <c r="L27" s="56">
        <f>K27*'Assumed Values'!$C$8</f>
        <v>114.80727800526007</v>
      </c>
      <c r="M27" s="57">
        <f t="shared" si="0"/>
        <v>24.218237480556933</v>
      </c>
      <c r="N27" s="55">
        <f>I27*'Inputs &amp; Outputs'!B$16*'Benefit Calculations'!G27*('Benefit Calculations'!D$4-'Benefit Calculations'!D$5)</f>
        <v>36.83335881594283</v>
      </c>
      <c r="O27" s="71">
        <f t="shared" si="4"/>
        <v>1.0556483901992469E-2</v>
      </c>
      <c r="P27" s="56">
        <f>ABS(O27*'Assumed Values'!$C$7)</f>
        <v>20.110101833295651</v>
      </c>
      <c r="Q27" s="57">
        <f t="shared" si="1"/>
        <v>4.2421633054885541</v>
      </c>
      <c r="T27" s="68">
        <f t="shared" si="5"/>
        <v>1.3872046575642496E-2</v>
      </c>
      <c r="U27" s="69">
        <f>T27*'Assumed Values'!$D$8</f>
        <v>0</v>
      </c>
    </row>
    <row r="28" spans="3:21">
      <c r="F28" s="54">
        <f t="shared" si="2"/>
        <v>2042</v>
      </c>
      <c r="G28" s="63">
        <f t="shared" si="6"/>
        <v>29226.833558796308</v>
      </c>
      <c r="H28" s="62">
        <f t="shared" si="8"/>
        <v>4.9828643118029703E-2</v>
      </c>
      <c r="I28" s="54">
        <f>IF(AND(F28&gt;='Inputs &amp; Outputs'!B$13,F28&lt;'Inputs &amp; Outputs'!B$13+'Inputs &amp; Outputs'!B$19),1,0)</f>
        <v>1</v>
      </c>
      <c r="J28" s="55">
        <f>I28*'Inputs &amp; Outputs'!B$16*'Benefit Calculations'!G28*('Benefit Calculations'!C$4-'Benefit Calculations'!C$5)</f>
        <v>56.012583976064896</v>
      </c>
      <c r="K28" s="71">
        <f t="shared" si="3"/>
        <v>1.605327236125954E-2</v>
      </c>
      <c r="L28" s="56">
        <f>K28*'Assumed Values'!$C$8</f>
        <v>120.52796888833663</v>
      </c>
      <c r="M28" s="57">
        <f t="shared" si="0"/>
        <v>23.761681675629255</v>
      </c>
      <c r="N28" s="55">
        <f>I28*'Inputs &amp; Outputs'!B$16*'Benefit Calculations'!G28*('Benefit Calculations'!D$4-'Benefit Calculations'!D$5)</f>
        <v>38.668715107220777</v>
      </c>
      <c r="O28" s="71">
        <f t="shared" si="4"/>
        <v>1.1082499170926076E-2</v>
      </c>
      <c r="P28" s="56">
        <f>ABS(O28*'Assumed Values'!$C$7)</f>
        <v>21.112160920614176</v>
      </c>
      <c r="Q28" s="57">
        <f t="shared" si="1"/>
        <v>4.1621911653141535</v>
      </c>
      <c r="T28" s="68">
        <f t="shared" si="5"/>
        <v>1.4563271833776873E-2</v>
      </c>
      <c r="U28" s="69">
        <f>T28*'Assumed Values'!$D$8</f>
        <v>0</v>
      </c>
    </row>
    <row r="29" spans="3:21">
      <c r="F29" s="54">
        <f t="shared" si="2"/>
        <v>2043</v>
      </c>
      <c r="G29" s="63">
        <f t="shared" si="6"/>
        <v>30683.167017667623</v>
      </c>
      <c r="H29" s="62">
        <f t="shared" si="8"/>
        <v>4.9828643118029703E-2</v>
      </c>
      <c r="I29" s="54">
        <f>IF(AND(F29&gt;='Inputs &amp; Outputs'!B$13,F29&lt;'Inputs &amp; Outputs'!B$13+'Inputs &amp; Outputs'!B$19),1,0)</f>
        <v>1</v>
      </c>
      <c r="J29" s="55">
        <f>I29*'Inputs &amp; Outputs'!B$16*'Benefit Calculations'!G29*('Benefit Calculations'!C$4-'Benefit Calculations'!C$5)</f>
        <v>58.803615033126903</v>
      </c>
      <c r="K29" s="71">
        <f t="shared" si="3"/>
        <v>1.6853185140625268E-2</v>
      </c>
      <c r="L29" s="56">
        <f>K29*'Assumed Values'!$C$8</f>
        <v>126.53371403581451</v>
      </c>
      <c r="M29" s="57">
        <f t="shared" si="0"/>
        <v>23.313732739933087</v>
      </c>
      <c r="N29" s="55">
        <f>I29*'Inputs &amp; Outputs'!B$16*'Benefit Calculations'!G29*('Benefit Calculations'!D$4-'Benefit Calculations'!D$5)</f>
        <v>40.595524712131244</v>
      </c>
      <c r="O29" s="71">
        <f t="shared" si="4"/>
        <v>1.1634725066970011E-2</v>
      </c>
      <c r="P29" s="56">
        <f>ABS(O29*'Assumed Values'!$C$7)</f>
        <v>22.16415125257787</v>
      </c>
      <c r="Q29" s="57">
        <f t="shared" si="1"/>
        <v>4.083726638765989</v>
      </c>
      <c r="T29" s="68">
        <f t="shared" si="5"/>
        <v>1.5288939908612994E-2</v>
      </c>
      <c r="U29" s="69">
        <f>T29*'Assumed Values'!$D$8</f>
        <v>0</v>
      </c>
    </row>
    <row r="30" spans="3:21">
      <c r="F30" s="54">
        <f t="shared" si="2"/>
        <v>2044</v>
      </c>
      <c r="G30" s="63">
        <f t="shared" si="6"/>
        <v>32212.067596721885</v>
      </c>
      <c r="H30" s="62">
        <f t="shared" si="8"/>
        <v>4.9828643118029703E-2</v>
      </c>
      <c r="I30" s="54">
        <f>IF(AND(F30&gt;='Inputs &amp; Outputs'!B$13,F30&lt;'Inputs &amp; Outputs'!B$13+'Inputs &amp; Outputs'!B$19),1,0)</f>
        <v>1</v>
      </c>
      <c r="J30" s="55">
        <f>I30*'Inputs &amp; Outputs'!B$16*'Benefit Calculations'!G30*('Benefit Calculations'!C$4-'Benefit Calculations'!C$5)</f>
        <v>61.733719380662592</v>
      </c>
      <c r="K30" s="71">
        <f t="shared" si="3"/>
        <v>1.769295648839957E-2</v>
      </c>
      <c r="L30" s="56">
        <f>K30*'Assumed Values'!$C$8</f>
        <v>132.83871731490396</v>
      </c>
      <c r="M30" s="57">
        <f t="shared" si="0"/>
        <v>22.87422841904705</v>
      </c>
      <c r="N30" s="55">
        <f>I30*'Inputs &amp; Outputs'!B$16*'Benefit Calculations'!G30*('Benefit Calculations'!D$4-'Benefit Calculations'!D$5)</f>
        <v>42.618344625201189</v>
      </c>
      <c r="O30" s="71">
        <f t="shared" si="4"/>
        <v>1.2214467630108455E-2</v>
      </c>
      <c r="P30" s="56">
        <f>ABS(O30*'Assumed Values'!$C$7)</f>
        <v>23.268560835356606</v>
      </c>
      <c r="Q30" s="57">
        <f t="shared" si="1"/>
        <v>4.0067413047108884</v>
      </c>
      <c r="T30" s="68">
        <f t="shared" si="5"/>
        <v>1.6050767038972274E-2</v>
      </c>
      <c r="U30" s="69">
        <f>T30*'Assumed Values'!$D$8</f>
        <v>0</v>
      </c>
    </row>
    <row r="31" spans="3:21">
      <c r="F31" s="54">
        <f t="shared" si="2"/>
        <v>2045</v>
      </c>
      <c r="G31" s="63">
        <f>'Inputs &amp; Outputs'!$B$24</f>
        <v>43125</v>
      </c>
      <c r="H31" s="62">
        <f t="shared" si="8"/>
        <v>4.9828643118029703E-2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45273.860234465028</v>
      </c>
      <c r="H32" s="62">
        <f t="shared" si="8"/>
        <v>4.9828643118029703E-2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47529.79525866374</v>
      </c>
      <c r="H33" s="62">
        <f t="shared" si="8"/>
        <v>4.9828643118029703E-2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49898.140464080716</v>
      </c>
      <c r="H34" s="62">
        <f t="shared" si="8"/>
        <v>4.9828643118029703E-2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52384.49709751871</v>
      </c>
      <c r="H35" s="62">
        <f t="shared" si="8"/>
        <v>4.9828643118029703E-2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54994.745508308435</v>
      </c>
      <c r="H36" s="62">
        <f t="shared" si="8"/>
        <v>4.9828643118029703E-2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808.84848446020601</v>
      </c>
      <c r="K37" s="55">
        <f t="shared" ref="K37:Q37" si="9">SUM(K4:K36)</f>
        <v>0.23181692573904911</v>
      </c>
      <c r="L37" s="58">
        <f t="shared" si="9"/>
        <v>1740.481478448781</v>
      </c>
      <c r="M37" s="59">
        <f t="shared" si="9"/>
        <v>551.45412119719742</v>
      </c>
      <c r="N37" s="55">
        <f t="shared" si="9"/>
        <v>558.39472829648855</v>
      </c>
      <c r="O37" s="55">
        <f t="shared" si="9"/>
        <v>0.16003658503356208</v>
      </c>
      <c r="P37" s="55">
        <f t="shared" si="9"/>
        <v>304.86969448893586</v>
      </c>
      <c r="Q37" s="59">
        <f t="shared" si="9"/>
        <v>96.594908670843196</v>
      </c>
      <c r="T37" s="68">
        <f>SUM(T4:T36)</f>
        <v>0.21030060595965355</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55</v>
      </c>
      <c r="D2" s="92" t="s">
        <v>114</v>
      </c>
      <c r="E2" s="92" t="s">
        <v>115</v>
      </c>
      <c r="F2" s="92" t="s">
        <v>116</v>
      </c>
      <c r="G2" s="92" t="s">
        <v>117</v>
      </c>
      <c r="H2" s="92" t="s">
        <v>118</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55</v>
      </c>
      <c r="D21" s="92" t="s">
        <v>114</v>
      </c>
      <c r="E21" s="92" t="s">
        <v>115</v>
      </c>
      <c r="F21" s="92" t="s">
        <v>116</v>
      </c>
      <c r="G21" s="92" t="s">
        <v>117</v>
      </c>
      <c r="H21" s="92" t="s">
        <v>118</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55</v>
      </c>
      <c r="D2" s="92" t="s">
        <v>114</v>
      </c>
      <c r="E2" s="92" t="s">
        <v>115</v>
      </c>
      <c r="F2" s="92" t="s">
        <v>116</v>
      </c>
      <c r="G2" s="92" t="s">
        <v>117</v>
      </c>
      <c r="H2" s="92" t="s">
        <v>118</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55</v>
      </c>
      <c r="D21" s="92" t="s">
        <v>114</v>
      </c>
      <c r="E21" s="92" t="s">
        <v>115</v>
      </c>
      <c r="F21" s="92" t="s">
        <v>116</v>
      </c>
      <c r="G21" s="92" t="s">
        <v>117</v>
      </c>
      <c r="H21" s="92" t="s">
        <v>118</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EA467F-F51A-4464-B6F3-72C41B33E5B6}"/>
</file>

<file path=customXml/itemProps2.xml><?xml version="1.0" encoding="utf-8"?>
<ds:datastoreItem xmlns:ds="http://schemas.openxmlformats.org/officeDocument/2006/customXml" ds:itemID="{DE49BB8E-B783-4869-AB5B-ED602C706188}"/>
</file>

<file path=customXml/itemProps3.xml><?xml version="1.0" encoding="utf-8"?>
<ds:datastoreItem xmlns:ds="http://schemas.openxmlformats.org/officeDocument/2006/customXml" ds:itemID="{79F3B310-45FA-4F07-B3B5-CC9C3557AD85}"/>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2018-10-30T02:30:27Z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