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6_HW_FM517/"/>
    </mc:Choice>
  </mc:AlternateContent>
  <xr:revisionPtr revIDLastSave="39" documentId="8_{239BB7EC-AE42-44C4-B2FC-76C61375C45D}" xr6:coauthVersionLast="40" xr6:coauthVersionMax="40" xr10:uidLastSave="{05907C1B-E1D9-4FE1-AEF0-809E07FA5835}"/>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<sst xmlns="http://schemas.openxmlformats.org/spreadsheetml/2006/main" count="292" uniqueCount="238">
  <si>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</si>
  <si>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</si>
  <si>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</si>
  <si>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</si>
  <si>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</si>
  <si>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</si>
  <si>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</si>
  <si>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</si>
  <si>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</si>
  <si>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</si>
  <si>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</si>
  <si>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</si>
  <si>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</si>
  <si>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</si>
  <si>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</si>
  <si>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</si>
  <si>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</si>
  <si>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</si>
  <si>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</si>
  <si>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</si>
  <si>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</si>
  <si>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</si>
  <si>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</si>
  <si>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</si>
  <si>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</si>
  <si>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</si>
  <si>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</si>
  <si>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</si>
  <si>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</si>
  <si>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</si>
  <si>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</si>
  <si>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</si>
  <si>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</si>
  <si>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</si>
  <si>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</si>
  <si>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</si>
  <si>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</si>
  <si>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</si>
  <si>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</si>
  <si>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</si>
  <si>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</si>
  <si>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</si>
  <si>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</si>
  <si>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</si>
  <si>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</si>
  <si>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</si>
  <si>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</si>
  <si>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</si>
  <si>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</si>
  <si>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FM 517 Widening and Access Management</t>
  </si>
  <si>
    <t>Data entered by the sponsors</t>
  </si>
  <si>
    <t>County</t>
  </si>
  <si>
    <t>Brazoria</t>
  </si>
  <si>
    <t>HGAC regional travel demand model data provided by HGAC</t>
  </si>
  <si>
    <t>Facility Type</t>
  </si>
  <si>
    <t>Non Freeway</t>
  </si>
  <si>
    <t>Data populated/calculated based on inputs</t>
  </si>
  <si>
    <t>Street Name:</t>
  </si>
  <si>
    <t>FM 517</t>
  </si>
  <si>
    <t>Benefits calculated by the template</t>
  </si>
  <si>
    <t>Limits (From)</t>
  </si>
  <si>
    <t>Galveston County Line</t>
  </si>
  <si>
    <t>Limits (To)</t>
  </si>
  <si>
    <t>SH 35</t>
  </si>
  <si>
    <t>Length (in Miles)</t>
  </si>
  <si>
    <t>Application ID Number:</t>
  </si>
  <si>
    <t>Sponsor ID Number (CSJ, etc.):</t>
  </si>
  <si>
    <t>1002-01-006</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</si>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</sst>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0" zoomScale="115" zoomScaleNormal="115" workbookViewId="0" xr3:uid="{51F8DEE0-4D01-5F28-A812-FC0BD7CAC4A5}">
      <selection activeCell="E39" sqref="E39"/>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45">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1.07</v>
      </c>
    </row>
    <row r="13" spans="1:7">
      <c r="A13" s="7" t="s">
        <v>65</v>
      </c>
      <c r="B13" s="116"/>
      <c r="F13" s="99"/>
    </row>
    <row r="14" spans="1:7">
      <c r="A14" s="7" t="s">
        <v>66</v>
      </c>
      <c r="B14" s="116" t="s">
        <v>67</v>
      </c>
    </row>
    <row r="17" spans="1:7">
      <c r="A17" s="98" t="s">
        <v>68</v>
      </c>
      <c r="E17" s="130" t="s">
        <v>69</v>
      </c>
      <c r="F17" s="131"/>
    </row>
    <row r="18" spans="1:7">
      <c r="A18" s="7" t="s">
        <v>70</v>
      </c>
      <c r="B18" s="117">
        <v>2025</v>
      </c>
      <c r="E18" s="87" t="s">
        <v>71</v>
      </c>
      <c r="F18" s="122">
        <f>$B$12/$B$32</f>
        <v>2.377777777777778E-2</v>
      </c>
    </row>
    <row r="19" spans="1:7" ht="30">
      <c r="A19" s="7" t="s">
        <v>72</v>
      </c>
      <c r="B19" s="118" t="s">
        <v>73</v>
      </c>
      <c r="E19" s="89" t="s">
        <v>74</v>
      </c>
      <c r="F19" s="123">
        <f>$B$12/$B$33</f>
        <v>3.689655172413793E-2</v>
      </c>
    </row>
    <row r="20" spans="1:7" ht="30">
      <c r="A20" s="113" t="s">
        <v>75</v>
      </c>
      <c r="B20" s="114">
        <f>VLOOKUP(B19,'Delay Reduction Factors'!B4:C80,2, FALSE)</f>
        <v>0.4</v>
      </c>
      <c r="E20" s="89" t="s">
        <v>76</v>
      </c>
      <c r="F20" s="122">
        <f>$F$19-$F$18</f>
        <v>1.311877394636015E-2</v>
      </c>
    </row>
    <row r="21" spans="1:7">
      <c r="A21" s="7" t="s">
        <v>77</v>
      </c>
      <c r="B21" s="63">
        <v>20</v>
      </c>
      <c r="D21" s="100"/>
      <c r="E21" s="87" t="s">
        <v>78</v>
      </c>
      <c r="F21" s="122">
        <f>$F$20*$B$20</f>
        <v>5.2475095785440608E-3</v>
      </c>
      <c r="G21" s="101"/>
    </row>
    <row r="22" spans="1:7">
      <c r="D22" s="100"/>
      <c r="E22" s="87" t="s">
        <v>79</v>
      </c>
      <c r="F22" s="122">
        <f>$F$20-$F$21</f>
        <v>7.8712643678160894E-3</v>
      </c>
      <c r="G22" s="101"/>
    </row>
    <row r="23" spans="1:7">
      <c r="E23" s="87" t="s">
        <v>80</v>
      </c>
      <c r="F23" s="122">
        <f>$F$18+$F$22</f>
        <v>3.1649042145593873E-2</v>
      </c>
    </row>
    <row r="24" spans="1:7">
      <c r="A24" s="98" t="s">
        <v>81</v>
      </c>
      <c r="B24" s="102"/>
      <c r="D24" s="100"/>
    </row>
    <row r="25" spans="1:7">
      <c r="A25" s="7" t="s">
        <v>82</v>
      </c>
      <c r="B25" s="126">
        <v>13400</v>
      </c>
      <c r="D25" s="100"/>
    </row>
    <row r="28" spans="1:7">
      <c r="A28" s="87" t="s">
        <v>83</v>
      </c>
      <c r="B28" s="112">
        <f>IF(FacilityType='Delay Reduction Factors'!N5,'Inputs &amp; Outputs'!B25*45%, B25*43%)</f>
        <v>5762</v>
      </c>
      <c r="D28" s="100"/>
      <c r="E28" s="103" t="s">
        <v>84</v>
      </c>
      <c r="F28" s="104" t="s">
        <v>2</v>
      </c>
      <c r="G28" s="105" t="s">
        <v>85</v>
      </c>
    </row>
    <row r="29" spans="1:7">
      <c r="A29" s="87" t="s">
        <v>86</v>
      </c>
      <c r="B29" s="95">
        <f>VLOOKUP(Year_Open_to_Traffic?,Calculations!H4:I36,2)</f>
        <v>6451.0000000000055</v>
      </c>
      <c r="D29" s="100"/>
      <c r="E29" s="89" t="s">
        <v>87</v>
      </c>
      <c r="F29" s="83">
        <f>$B$29*$F$23</f>
        <v>204.16797088122624</v>
      </c>
      <c r="G29" s="84">
        <f>$B$29*$F$19</f>
        <v>238.01965517241399</v>
      </c>
    </row>
    <row r="30" spans="1:7">
      <c r="B30" s="82"/>
      <c r="D30" s="100"/>
    </row>
    <row r="32" spans="1:7">
      <c r="A32" s="106" t="s">
        <v>88</v>
      </c>
      <c r="B32" s="119">
        <v>45</v>
      </c>
      <c r="D32" s="100"/>
    </row>
    <row r="33" spans="1:7" ht="30">
      <c r="A33" s="107" t="s">
        <v>89</v>
      </c>
      <c r="B33" s="120">
        <v>29</v>
      </c>
      <c r="D33" s="100"/>
      <c r="E33" s="100"/>
      <c r="F33" s="108"/>
    </row>
    <row r="34" spans="1:7">
      <c r="A34" s="109"/>
      <c r="B34" s="121"/>
      <c r="F34" s="108"/>
      <c r="G34" s="108"/>
    </row>
    <row r="35" spans="1:7">
      <c r="A35" s="87" t="s">
        <v>90</v>
      </c>
      <c r="B35" s="125">
        <f>$B$28</f>
        <v>5762</v>
      </c>
    </row>
    <row r="36" spans="1:7">
      <c r="A36" s="106" t="s">
        <v>91</v>
      </c>
      <c r="B36" s="119">
        <v>11746</v>
      </c>
    </row>
    <row r="37" spans="1:7">
      <c r="A37" s="106" t="s">
        <v>92</v>
      </c>
      <c r="B37" s="119">
        <v>6451</v>
      </c>
    </row>
    <row r="38" spans="1:7">
      <c r="A38" s="106" t="s">
        <v>93</v>
      </c>
      <c r="B38" s="119">
        <v>22862</v>
      </c>
    </row>
    <row r="39" spans="1:7">
      <c r="A39" s="106" t="s">
        <v>94</v>
      </c>
      <c r="B39" s="119">
        <v>20257</v>
      </c>
    </row>
    <row r="40" spans="1:7">
      <c r="A40" s="106" t="s">
        <v>95</v>
      </c>
      <c r="B40" s="119">
        <v>22862</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3568.8584685788283</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53083.672429118822</v>
      </c>
      <c r="F4" s="21">
        <f>'Inputs &amp; Outputs'!G29*Annual_Days_of_Travel</f>
        <v>61885.110344827641</v>
      </c>
      <c r="H4" s="49">
        <v>2018</v>
      </c>
      <c r="I4" s="50">
        <f>'Inputs &amp; Outputs'!B28</f>
        <v>5762</v>
      </c>
      <c r="J4" s="50">
        <f>IF(H4=Year_Open_to_Traffic?,$F$4,0)</f>
        <v>0</v>
      </c>
      <c r="K4" s="50">
        <f>IF(H4=Year_Open_to_Traffic?,Calculations!$E$4,0)</f>
        <v>0</v>
      </c>
      <c r="L4" s="50">
        <f>IF(AND(H4&gt;=Year_Open_to_Traffic?, Calculations!H4&lt;Year_Open_to_Traffic?+'Inputs &amp; Outputs'!B$21), 1, 0)</f>
        <v>0</v>
      </c>
      <c r="M4" s="65" t="s">
        <v>111</v>
      </c>
      <c r="N4" s="66">
        <f>MIN(E8,1)</f>
        <v>0.49054997445939041</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1.6266673565947576E-2</v>
      </c>
      <c r="F5" s="26"/>
      <c r="H5" s="14">
        <f t="shared" ref="H5:H36" si="3">H4+1</f>
        <v>2019</v>
      </c>
      <c r="I5" s="79">
        <f>(I4*M5)+I4</f>
        <v>5855.7285730869899</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1.6266673565947576E-2</v>
      </c>
      <c r="N5" s="71">
        <f t="shared" ref="N5:N11" si="6">N4*(1+IFERROR(_2018_2025_V_C_Growth,_2018_2045_V_C_Growth))</f>
        <v>0.45328692821875372</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5.8881606335909886E-2</v>
      </c>
      <c r="F6" s="26"/>
      <c r="H6" s="49">
        <f t="shared" si="3"/>
        <v>2020</v>
      </c>
      <c r="I6" s="79">
        <f t="shared" ref="I6:I36" si="10">(I5*M6)+I5</f>
        <v>5950.9817982761879</v>
      </c>
      <c r="J6" s="50">
        <f t="shared" si="4"/>
        <v>0</v>
      </c>
      <c r="K6" s="50">
        <f>IF(H6=Year_Open_to_Traffic?,Calculations!$E$4,K5+(K5*M6))</f>
        <v>0</v>
      </c>
      <c r="L6" s="50">
        <f>IF(AND(H6&gt;=Year_Open_to_Traffic?, Calculations!H6&lt;Year_Open_to_Traffic?+'Inputs &amp; Outputs'!B$21), 1, 0)</f>
        <v>0</v>
      </c>
      <c r="M6" s="65">
        <f t="shared" si="5"/>
        <v>1.6266673565947576E-2</v>
      </c>
      <c r="N6" s="71">
        <f t="shared" si="6"/>
        <v>0.41885444907102543</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4.766465317711277E-2</v>
      </c>
      <c r="F7" s="26"/>
      <c r="H7" s="14">
        <f t="shared" si="3"/>
        <v>2021</v>
      </c>
      <c r="I7" s="79">
        <f t="shared" si="10"/>
        <v>6047.7844765856426</v>
      </c>
      <c r="J7" s="50">
        <f t="shared" si="4"/>
        <v>0</v>
      </c>
      <c r="K7" s="50">
        <f>IF(H7=Year_Open_to_Traffic?,Calculations!$E$4,K6+(K6*M7))</f>
        <v>0</v>
      </c>
      <c r="L7" s="50">
        <f>IF(AND(H7&gt;=Year_Open_to_Traffic?, Calculations!H7&lt;Year_Open_to_Traffic?+'Inputs &amp; Outputs'!B$21), 1, 0)</f>
        <v>0</v>
      </c>
      <c r="M7" s="65">
        <f t="shared" si="5"/>
        <v>1.6266673565947576E-2</v>
      </c>
      <c r="N7" s="71">
        <f t="shared" si="6"/>
        <v>0.38703752211871933</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0.49054997445939041</v>
      </c>
      <c r="F8" s="26"/>
      <c r="H8" s="49">
        <f t="shared" si="3"/>
        <v>2022</v>
      </c>
      <c r="I8" s="79">
        <f t="shared" si="10"/>
        <v>6146.161812463466</v>
      </c>
      <c r="J8" s="50">
        <f t="shared" si="4"/>
        <v>0</v>
      </c>
      <c r="K8" s="50">
        <f>IF(H8=Year_Open_to_Traffic?,Calculations!$E$4,K7+(K7*M8))</f>
        <v>0</v>
      </c>
      <c r="L8" s="50">
        <f>IF(AND(H8&gt;=Year_Open_to_Traffic?, Calculations!H8&lt;Year_Open_to_Traffic?+'Inputs &amp; Outputs'!B$21), 1, 0)</f>
        <v>0</v>
      </c>
      <c r="M8" s="65">
        <f t="shared" si="5"/>
        <v>1.6266673565947576E-2</v>
      </c>
      <c r="N8" s="71">
        <f t="shared" si="6"/>
        <v>0.35763746537737456</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0.28217128860117224</v>
      </c>
      <c r="F9" s="26"/>
      <c r="H9" s="14">
        <f t="shared" si="3"/>
        <v>2023</v>
      </c>
      <c r="I9" s="79">
        <f t="shared" si="10"/>
        <v>6246.1394203503023</v>
      </c>
      <c r="J9" s="50">
        <f t="shared" si="4"/>
        <v>0</v>
      </c>
      <c r="K9" s="50">
        <f>IF(H9=Year_Open_to_Traffic?,Calculations!$E$4,K8+(K8*M9))</f>
        <v>0</v>
      </c>
      <c r="L9" s="50">
        <f>IF(AND(H9&gt;=Year_Open_to_Traffic?, Calculations!H9&lt;Year_Open_to_Traffic?+'Inputs &amp; Outputs'!B$21), 1, 0)</f>
        <v>0</v>
      </c>
      <c r="M9" s="65">
        <f t="shared" si="5"/>
        <v>1.6266673565947576E-2</v>
      </c>
      <c r="N9" s="71">
        <f t="shared" si="6"/>
        <v>0.33047068909850952</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0.88605546321406703</v>
      </c>
      <c r="F10" s="26"/>
      <c r="H10" s="49">
        <f t="shared" si="3"/>
        <v>2024</v>
      </c>
      <c r="I10" s="79">
        <f t="shared" si="10"/>
        <v>6347.743331348538</v>
      </c>
      <c r="J10" s="50">
        <f t="shared" si="4"/>
        <v>0</v>
      </c>
      <c r="K10" s="50">
        <f>IF(H10=Year_Open_to_Traffic?,Calculations!$E$4,K9+(K9*M10))</f>
        <v>0</v>
      </c>
      <c r="L10" s="50">
        <f>IF(AND(H10&gt;=Year_Open_to_Traffic?, Calculations!H10&lt;Year_Open_to_Traffic?+'Inputs &amp; Outputs'!B$21), 1, 0)</f>
        <v>0</v>
      </c>
      <c r="M10" s="65">
        <f t="shared" si="5"/>
        <v>1.6266673565947576E-2</v>
      </c>
      <c r="N10" s="71">
        <f t="shared" si="6"/>
        <v>0.30536754933660487</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-7.5961773887976203E-2</v>
      </c>
      <c r="F11" s="26"/>
      <c r="H11" s="14">
        <f t="shared" si="3"/>
        <v>2025</v>
      </c>
      <c r="I11" s="79">
        <f t="shared" si="10"/>
        <v>6451.0000000000055</v>
      </c>
      <c r="J11" s="50">
        <f t="shared" si="4"/>
        <v>61885.110344827641</v>
      </c>
      <c r="K11" s="50">
        <f>IF(H11=Year_Open_to_Traffic?,Calculations!$E$4,K10+(K10*M11))</f>
        <v>53083.672429118822</v>
      </c>
      <c r="L11" s="50">
        <f>IF(AND(H11&gt;=Year_Open_to_Traffic?, Calculations!H11&lt;Year_Open_to_Traffic?+'Inputs &amp; Outputs'!B$21), 1, 0)</f>
        <v>1</v>
      </c>
      <c r="M11" s="65">
        <f t="shared" si="5"/>
        <v>1.6266673565947576E-2</v>
      </c>
      <c r="N11" s="71">
        <f t="shared" si="6"/>
        <v>0.2821712886011723</v>
      </c>
      <c r="O11" s="72">
        <f t="shared" si="7"/>
        <v>1</v>
      </c>
      <c r="P11" s="68">
        <f t="shared" si="8"/>
        <v>8801.4379157088188</v>
      </c>
      <c r="Q11" s="69">
        <f t="shared" si="0"/>
        <v>1</v>
      </c>
      <c r="R11" s="70">
        <f t="shared" si="1"/>
        <v>20.787565583925574</v>
      </c>
      <c r="S11" s="77">
        <f t="shared" si="2"/>
        <v>254.31505038884833</v>
      </c>
      <c r="T11" s="64">
        <f t="shared" si="9"/>
        <v>158.37463198702207</v>
      </c>
      <c r="W11" s="58"/>
    </row>
    <row r="12" spans="1:24">
      <c r="A12" s="17" t="s">
        <v>123</v>
      </c>
      <c r="B12" s="18">
        <v>0.45</v>
      </c>
      <c r="D12" s="17" t="s">
        <v>124</v>
      </c>
      <c r="E12" s="39">
        <f>(E10/E9)^(1/(2045-2025))-1</f>
        <v>5.8881606335909886E-2</v>
      </c>
      <c r="F12" s="26"/>
      <c r="H12" s="49">
        <v>2026</v>
      </c>
      <c r="I12" s="79">
        <f t="shared" si="10"/>
        <v>6830.8452424729603</v>
      </c>
      <c r="J12" s="50">
        <f t="shared" si="4"/>
        <v>65529.005050206128</v>
      </c>
      <c r="K12" s="50">
        <f>IF(H12=Year_Open_to_Traffic?,Calculations!$E$4,K11+(K11*M12))</f>
        <v>56209.324331954587</v>
      </c>
      <c r="L12" s="50">
        <f>IF(AND(H12&gt;=Year_Open_to_Traffic?, Calculations!H12&lt;Year_Open_to_Traffic?+'Inputs &amp; Outputs'!B$21), 1, 0)</f>
        <v>1</v>
      </c>
      <c r="M12" s="65">
        <f t="shared" ref="M12:M36" si="11">IFERROR(_2025_2045_Demand_Growth,_2018_2045_Demand_Growth)</f>
        <v>5.8881606335909886E-2</v>
      </c>
      <c r="N12" s="71">
        <f t="shared" ref="N12:N36" si="12">N11*(1+IFERROR(_2025_2045_V_C_Growth,_2018_2045_V_C_Growth))</f>
        <v>0.29878598733588296</v>
      </c>
      <c r="O12" s="72">
        <f t="shared" si="7"/>
        <v>1</v>
      </c>
      <c r="P12" s="68">
        <f t="shared" si="8"/>
        <v>9319.6807182515404</v>
      </c>
      <c r="Q12" s="69">
        <f t="shared" si="0"/>
        <v>1</v>
      </c>
      <c r="R12" s="70">
        <f t="shared" si="1"/>
        <v>21.265679592355859</v>
      </c>
      <c r="S12" s="77">
        <f t="shared" si="2"/>
        <v>275.48318823977786</v>
      </c>
      <c r="T12" s="64">
        <f t="shared" si="9"/>
        <v>160.33372371015503</v>
      </c>
      <c r="W12" s="58"/>
    </row>
    <row r="13" spans="1:24">
      <c r="A13" s="17" t="s">
        <v>55</v>
      </c>
      <c r="B13" s="18">
        <v>0.43</v>
      </c>
      <c r="D13" s="17" t="s">
        <v>125</v>
      </c>
      <c r="E13" s="39">
        <f>(E10/E8)^(1/(2045-2018))-1</f>
        <v>2.2139762815694075E-2</v>
      </c>
      <c r="F13" s="26"/>
      <c r="H13" s="14">
        <f t="shared" si="3"/>
        <v>2027</v>
      </c>
      <c r="I13" s="79">
        <f t="shared" si="10"/>
        <v>7233.0563829817766</v>
      </c>
      <c r="J13" s="50">
        <f t="shared" si="4"/>
        <v>69387.458129156221</v>
      </c>
      <c r="K13" s="50">
        <f>IF(H13=Year_Open_to_Traffic?,Calculations!$E$4,K12+(K12*M13))</f>
        <v>59519.019639676219</v>
      </c>
      <c r="L13" s="50">
        <f>IF(AND(H13&gt;=Year_Open_to_Traffic?, Calculations!H13&lt;Year_Open_to_Traffic?+'Inputs &amp; Outputs'!B$21), 1, 0)</f>
        <v>1</v>
      </c>
      <c r="M13" s="65">
        <f t="shared" si="11"/>
        <v>5.8881606335909886E-2</v>
      </c>
      <c r="N13" s="71">
        <f t="shared" si="12"/>
        <v>0.31637898622088056</v>
      </c>
      <c r="O13" s="72">
        <f t="shared" si="7"/>
        <v>1</v>
      </c>
      <c r="P13" s="68">
        <f t="shared" si="8"/>
        <v>9868.4384894800023</v>
      </c>
      <c r="Q13" s="69">
        <f t="shared" si="0"/>
        <v>1</v>
      </c>
      <c r="R13" s="70">
        <f t="shared" si="1"/>
        <v>21.754790222980041</v>
      </c>
      <c r="S13" s="77">
        <f t="shared" si="2"/>
        <v>298.41327474215706</v>
      </c>
      <c r="T13" s="64">
        <f t="shared" si="9"/>
        <v>162.31704936729309</v>
      </c>
      <c r="W13" s="58"/>
    </row>
    <row r="14" spans="1:24">
      <c r="H14" s="49">
        <f>H13+1</f>
        <v>2028</v>
      </c>
      <c r="I14" s="79">
        <f t="shared" si="10"/>
        <v>7658.95036152995</v>
      </c>
      <c r="J14" s="50">
        <f t="shared" si="4"/>
        <v>73473.103123366629</v>
      </c>
      <c r="K14" s="50">
        <f>IF(H14=Year_Open_to_Traffic?,Calculations!$E$4,K13+(K13*M14))</f>
        <v>63023.59512359892</v>
      </c>
      <c r="L14" s="50">
        <f>IF(AND(H14&gt;=Year_Open_to_Traffic?, Calculations!H14&lt;Year_Open_to_Traffic?+'Inputs &amp; Outputs'!B$21), 1, 0)</f>
        <v>1</v>
      </c>
      <c r="M14" s="65">
        <f t="shared" si="11"/>
        <v>5.8881606335909886E-2</v>
      </c>
      <c r="N14" s="71">
        <f t="shared" si="12"/>
        <v>0.33500788914049273</v>
      </c>
      <c r="O14" s="72">
        <f t="shared" si="7"/>
        <v>1</v>
      </c>
      <c r="P14" s="68">
        <f t="shared" si="8"/>
        <v>10449.507999767709</v>
      </c>
      <c r="Q14" s="69">
        <f t="shared" si="0"/>
        <v>1</v>
      </c>
      <c r="R14" s="70">
        <f t="shared" si="1"/>
        <v>22.255150398108579</v>
      </c>
      <c r="S14" s="77">
        <f t="shared" si="2"/>
        <v>323.25196724828606</v>
      </c>
      <c r="T14" s="64">
        <f t="shared" si="9"/>
        <v>164.32490873182121</v>
      </c>
      <c r="W14" s="58"/>
    </row>
    <row r="15" spans="1:24">
      <c r="H15" s="14">
        <f t="shared" si="3"/>
        <v>2029</v>
      </c>
      <c r="I15" s="79">
        <f t="shared" si="10"/>
        <v>8109.9216616638314</v>
      </c>
      <c r="J15" s="50">
        <f t="shared" si="4"/>
        <v>77799.317457754412</v>
      </c>
      <c r="K15" s="50">
        <f>IF(H15=Year_Open_to_Traffic?,Calculations!$E$4,K14+(K14*M15))</f>
        <v>66734.525641540444</v>
      </c>
      <c r="L15" s="50">
        <f>IF(AND(H15&gt;=Year_Open_to_Traffic?, Calculations!H15&lt;Year_Open_to_Traffic?+'Inputs &amp; Outputs'!B$21), 1, 0)</f>
        <v>1</v>
      </c>
      <c r="M15" s="65">
        <f t="shared" si="11"/>
        <v>5.8881606335909886E-2</v>
      </c>
      <c r="N15" s="71">
        <f t="shared" si="12"/>
        <v>0.35473369178828734</v>
      </c>
      <c r="O15" s="72">
        <f t="shared" si="7"/>
        <v>1</v>
      </c>
      <c r="P15" s="68">
        <f t="shared" si="8"/>
        <v>11064.791816213969</v>
      </c>
      <c r="Q15" s="69">
        <f t="shared" si="0"/>
        <v>1</v>
      </c>
      <c r="R15" s="70">
        <f t="shared" si="1"/>
        <v>22.767018857265079</v>
      </c>
      <c r="S15" s="77">
        <f t="shared" si="2"/>
        <v>350.15813026472347</v>
      </c>
      <c r="T15" s="64">
        <f t="shared" si="9"/>
        <v>166.35760528531631</v>
      </c>
      <c r="W15" s="58"/>
    </row>
    <row r="16" spans="1:24">
      <c r="H16" s="49">
        <f t="shared" si="3"/>
        <v>2030</v>
      </c>
      <c r="I16" s="79">
        <f t="shared" si="10"/>
        <v>8587.4468763609893</v>
      </c>
      <c r="J16" s="50">
        <f t="shared" si="4"/>
        <v>82380.266241504389</v>
      </c>
      <c r="K16" s="50">
        <f>IF(H16=Year_Open_to_Traffic?,Calculations!$E$4,K15+(K15*M16))</f>
        <v>70663.961709379306</v>
      </c>
      <c r="L16" s="50">
        <f>IF(AND(H16&gt;=Year_Open_to_Traffic?, Calculations!H16&lt;Year_Open_to_Traffic?+'Inputs &amp; Outputs'!B$21), 1, 0)</f>
        <v>1</v>
      </c>
      <c r="M16" s="65">
        <f t="shared" si="11"/>
        <v>5.8881606335909886E-2</v>
      </c>
      <c r="N16" s="71">
        <f t="shared" si="12"/>
        <v>0.37562098138224925</v>
      </c>
      <c r="O16" s="72">
        <f t="shared" si="7"/>
        <v>1</v>
      </c>
      <c r="P16" s="68">
        <f t="shared" si="8"/>
        <v>11716.304532125083</v>
      </c>
      <c r="Q16" s="69">
        <f t="shared" si="0"/>
        <v>1</v>
      </c>
      <c r="R16" s="70">
        <f t="shared" si="1"/>
        <v>23.290660290982171</v>
      </c>
      <c r="S16" s="77">
        <f t="shared" si="2"/>
        <v>379.30385152555397</v>
      </c>
      <c r="T16" s="64">
        <f t="shared" si="9"/>
        <v>168.41544626341818</v>
      </c>
      <c r="W16" s="58"/>
    </row>
    <row r="17" spans="1:23">
      <c r="A17" s="27"/>
      <c r="H17" s="14">
        <f t="shared" si="3"/>
        <v>2031</v>
      </c>
      <c r="I17" s="79">
        <f t="shared" si="10"/>
        <v>9093.0895427654159</v>
      </c>
      <c r="J17" s="50">
        <f t="shared" si="4"/>
        <v>87230.948648184101</v>
      </c>
      <c r="K17" s="50">
        <f>IF(H17=Year_Open_to_Traffic?,Calculations!$E$4,K16+(K16*M17))</f>
        <v>74824.769284886788</v>
      </c>
      <c r="L17" s="50">
        <f>IF(AND(H17&gt;=Year_Open_to_Traffic?, Calculations!H17&lt;Year_Open_to_Traffic?+'Inputs &amp; Outputs'!B$21), 1, 0)</f>
        <v>1</v>
      </c>
      <c r="M17" s="65">
        <f t="shared" si="11"/>
        <v>5.8881606335909886E-2</v>
      </c>
      <c r="N17" s="71">
        <f t="shared" si="12"/>
        <v>0.39773814813950698</v>
      </c>
      <c r="O17" s="72">
        <f t="shared" si="7"/>
        <v>1</v>
      </c>
      <c r="P17" s="68">
        <f t="shared" si="8"/>
        <v>12406.179363297313</v>
      </c>
      <c r="Q17" s="69">
        <f t="shared" si="0"/>
        <v>1</v>
      </c>
      <c r="R17" s="70">
        <f t="shared" si="1"/>
        <v>23.82634547767476</v>
      </c>
      <c r="S17" s="77">
        <f t="shared" si="2"/>
        <v>410.87554263941001</v>
      </c>
      <c r="T17" s="64">
        <f t="shared" si="9"/>
        <v>170.49874270226607</v>
      </c>
      <c r="W17" s="58"/>
    </row>
    <row r="18" spans="1:23">
      <c r="H18" s="49">
        <f t="shared" si="3"/>
        <v>2032</v>
      </c>
      <c r="I18" s="79">
        <f t="shared" si="10"/>
        <v>9628.5052615997083</v>
      </c>
      <c r="J18" s="50">
        <f t="shared" si="4"/>
        <v>92367.247026794445</v>
      </c>
      <c r="K18" s="50">
        <f>IF(H18=Year_Open_to_Traffic?,Calculations!$E$4,K17+(K17*M18))</f>
        <v>79230.57189409477</v>
      </c>
      <c r="L18" s="50">
        <f>IF(AND(H18&gt;=Year_Open_to_Traffic?, Calculations!H18&lt;Year_Open_to_Traffic?+'Inputs &amp; Outputs'!B$21), 1, 0)</f>
        <v>1</v>
      </c>
      <c r="M18" s="65">
        <f t="shared" si="11"/>
        <v>5.8881606335909886E-2</v>
      </c>
      <c r="N18" s="71">
        <f t="shared" si="12"/>
        <v>0.42115760920303125</v>
      </c>
      <c r="O18" s="72">
        <f t="shared" si="7"/>
        <v>1</v>
      </c>
      <c r="P18" s="68">
        <f t="shared" si="8"/>
        <v>13136.675132699675</v>
      </c>
      <c r="Q18" s="69">
        <f t="shared" si="0"/>
        <v>1</v>
      </c>
      <c r="R18" s="70">
        <f t="shared" si="1"/>
        <v>24.374351423661277</v>
      </c>
      <c r="S18" s="77">
        <f t="shared" si="2"/>
        <v>445.0751313498227</v>
      </c>
      <c r="T18" s="64">
        <f t="shared" si="9"/>
        <v>172.60780948551172</v>
      </c>
      <c r="W18" s="58"/>
    </row>
    <row r="19" spans="1:23">
      <c r="H19" s="14">
        <f t="shared" si="3"/>
        <v>2033</v>
      </c>
      <c r="I19" s="79">
        <f t="shared" si="10"/>
        <v>10195.44711801646</v>
      </c>
      <c r="J19" s="50">
        <f t="shared" si="4"/>
        <v>97805.978904557895</v>
      </c>
      <c r="K19" s="50">
        <f>IF(H19=Year_Open_to_Traffic?,Calculations!$E$4,K18+(K18*M19))</f>
        <v>83895.795238131861</v>
      </c>
      <c r="L19" s="50">
        <f>IF(AND(H19&gt;=Year_Open_to_Traffic?, Calculations!H19&lt;Year_Open_to_Traffic?+'Inputs &amp; Outputs'!B$21), 1, 0)</f>
        <v>1</v>
      </c>
      <c r="M19" s="65">
        <f t="shared" si="11"/>
        <v>5.8881606335909886E-2</v>
      </c>
      <c r="N19" s="71">
        <f t="shared" si="12"/>
        <v>0.44595604575349712</v>
      </c>
      <c r="O19" s="72">
        <f t="shared" si="7"/>
        <v>1</v>
      </c>
      <c r="P19" s="68">
        <f t="shared" si="8"/>
        <v>13910.183666426034</v>
      </c>
      <c r="Q19" s="69">
        <f t="shared" si="0"/>
        <v>1</v>
      </c>
      <c r="R19" s="70">
        <f t="shared" si="1"/>
        <v>24.934961506405479</v>
      </c>
      <c r="S19" s="77">
        <f t="shared" si="2"/>
        <v>482.12135303441505</v>
      </c>
      <c r="T19" s="64">
        <f t="shared" si="9"/>
        <v>174.74296539191261</v>
      </c>
      <c r="W19" s="58"/>
    </row>
    <row r="20" spans="1:23">
      <c r="H20" s="49">
        <f t="shared" si="3"/>
        <v>2034</v>
      </c>
      <c r="I20" s="79">
        <f t="shared" si="10"/>
        <v>10795.771421638092</v>
      </c>
      <c r="J20" s="50">
        <f t="shared" si="4"/>
        <v>103564.95205171438</v>
      </c>
      <c r="K20" s="50">
        <f>IF(H20=Year_Open_to_Traffic?,Calculations!$E$4,K19+(K19*M20))</f>
        <v>88835.714426581646</v>
      </c>
      <c r="L20" s="50">
        <f>IF(AND(H20&gt;=Year_Open_to_Traffic?, Calculations!H20&lt;Year_Open_to_Traffic?+'Inputs &amp; Outputs'!B$21), 1, 0)</f>
        <v>1</v>
      </c>
      <c r="M20" s="65">
        <f t="shared" si="11"/>
        <v>5.8881606335909886E-2</v>
      </c>
      <c r="N20" s="71">
        <f t="shared" si="12"/>
        <v>0.47221465408267355</v>
      </c>
      <c r="O20" s="72">
        <f t="shared" si="7"/>
        <v>1</v>
      </c>
      <c r="P20" s="68">
        <f t="shared" si="8"/>
        <v>14729.237625132737</v>
      </c>
      <c r="Q20" s="69">
        <f t="shared" si="0"/>
        <v>1</v>
      </c>
      <c r="R20" s="70">
        <f t="shared" si="1"/>
        <v>25.508465621052807</v>
      </c>
      <c r="S20" s="77">
        <f t="shared" si="2"/>
        <v>522.25114970317202</v>
      </c>
      <c r="T20" s="64">
        <f t="shared" si="9"/>
        <v>176.90453314351478</v>
      </c>
      <c r="W20" s="58"/>
    </row>
    <row r="21" spans="1:23">
      <c r="H21" s="14">
        <f t="shared" si="3"/>
        <v>2035</v>
      </c>
      <c r="I21" s="79">
        <f t="shared" si="10"/>
        <v>11431.443784579453</v>
      </c>
      <c r="J21" s="50">
        <f t="shared" si="4"/>
        <v>109663.02278862082</v>
      </c>
      <c r="K21" s="50">
        <f>IF(H21=Year_Open_to_Traffic?,Calculations!$E$4,K20+(K20*M21))</f>
        <v>94066.503992016937</v>
      </c>
      <c r="L21" s="50">
        <f>IF(AND(H21&gt;=Year_Open_to_Traffic?, Calculations!H21&lt;Year_Open_to_Traffic?+'Inputs &amp; Outputs'!B$21), 1, 0)</f>
        <v>1</v>
      </c>
      <c r="M21" s="65">
        <f t="shared" si="11"/>
        <v>5.8881606335909886E-2</v>
      </c>
      <c r="N21" s="71">
        <f t="shared" si="12"/>
        <v>0.50001941145041739</v>
      </c>
      <c r="O21" s="72">
        <f t="shared" si="7"/>
        <v>1</v>
      </c>
      <c r="P21" s="68">
        <f t="shared" si="8"/>
        <v>15596.518796603879</v>
      </c>
      <c r="Q21" s="69">
        <f t="shared" si="0"/>
        <v>1</v>
      </c>
      <c r="R21" s="70">
        <f t="shared" si="1"/>
        <v>26.095160330337016</v>
      </c>
      <c r="S21" s="77">
        <f t="shared" si="2"/>
        <v>565.72118544356545</v>
      </c>
      <c r="T21" s="64">
        <f t="shared" si="9"/>
        <v>179.09283945443056</v>
      </c>
      <c r="W21" s="58"/>
    </row>
    <row r="22" spans="1:23">
      <c r="H22" s="49">
        <f>H21+1</f>
        <v>2036</v>
      </c>
      <c r="I22" s="79">
        <f t="shared" si="10"/>
        <v>12104.545557354144</v>
      </c>
      <c r="J22" s="50">
        <f t="shared" si="4"/>
        <v>116120.1577260663</v>
      </c>
      <c r="K22" s="50">
        <f>IF(H22=Year_Open_to_Traffic?,Calculations!$E$4,K21+(K21*M22))</f>
        <v>99605.29084947017</v>
      </c>
      <c r="L22" s="50">
        <f>IF(AND(H22&gt;=Year_Open_to_Traffic?, Calculations!H22&lt;Year_Open_to_Traffic?+'Inputs &amp; Outputs'!B$21), 1, 0)</f>
        <v>1</v>
      </c>
      <c r="M22" s="65">
        <f t="shared" si="11"/>
        <v>5.8881606335909886E-2</v>
      </c>
      <c r="N22" s="71">
        <f t="shared" si="12"/>
        <v>0.52946135759575419</v>
      </c>
      <c r="O22" s="72">
        <f t="shared" si="7"/>
        <v>1</v>
      </c>
      <c r="P22" s="68">
        <f t="shared" si="8"/>
        <v>16514.866876596134</v>
      </c>
      <c r="Q22" s="69">
        <f t="shared" si="0"/>
        <v>1</v>
      </c>
      <c r="R22" s="70">
        <f t="shared" si="1"/>
        <v>26.695349017934767</v>
      </c>
      <c r="S22" s="77">
        <f t="shared" si="2"/>
        <v>612.80948800509498</v>
      </c>
      <c r="T22" s="64">
        <f t="shared" si="9"/>
        <v>181.30821508022089</v>
      </c>
      <c r="W22" s="58"/>
    </row>
    <row r="23" spans="1:23">
      <c r="H23" s="14">
        <f t="shared" si="3"/>
        <v>2037</v>
      </c>
      <c r="I23" s="79">
        <f t="shared" si="10"/>
        <v>12817.280643737358</v>
      </c>
      <c r="J23" s="50">
        <f t="shared" si="4"/>
        <v>122957.49914095631</v>
      </c>
      <c r="K23" s="50">
        <f>IF(H23=Year_Open_to_Traffic?,Calculations!$E$4,K22+(K22*M23))</f>
        <v>105470.21037424248</v>
      </c>
      <c r="L23" s="50">
        <f>IF(AND(H23&gt;=Year_Open_to_Traffic?, Calculations!H23&lt;Year_Open_to_Traffic?+'Inputs &amp; Outputs'!B$21), 1, 0)</f>
        <v>1</v>
      </c>
      <c r="M23" s="65">
        <f t="shared" si="11"/>
        <v>5.8881606335909886E-2</v>
      </c>
      <c r="N23" s="71">
        <f t="shared" si="12"/>
        <v>0.56063689282378382</v>
      </c>
      <c r="O23" s="72">
        <f t="shared" si="7"/>
        <v>1</v>
      </c>
      <c r="P23" s="68">
        <f t="shared" si="8"/>
        <v>17487.288766713827</v>
      </c>
      <c r="Q23" s="69">
        <f t="shared" si="0"/>
        <v>1</v>
      </c>
      <c r="R23" s="70">
        <f t="shared" si="1"/>
        <v>27.309342045347261</v>
      </c>
      <c r="S23" s="77">
        <f t="shared" si="2"/>
        <v>663.81722702256604</v>
      </c>
      <c r="T23" s="64">
        <f t="shared" si="9"/>
        <v>183.55099486788774</v>
      </c>
      <c r="W23" s="58"/>
    </row>
    <row r="24" spans="1:23">
      <c r="H24" s="49">
        <f t="shared" si="3"/>
        <v>2038</v>
      </c>
      <c r="I24" s="79">
        <f t="shared" si="10"/>
        <v>13571.982716898779</v>
      </c>
      <c r="J24" s="50">
        <f t="shared" si="4"/>
        <v>130197.43420142207</v>
      </c>
      <c r="K24" s="50">
        <f>IF(H24=Year_Open_to_Traffic?,Calculations!$E$4,K23+(K23*M24))</f>
        <v>111680.46578166423</v>
      </c>
      <c r="L24" s="50">
        <f>IF(AND(H24&gt;=Year_Open_to_Traffic?, Calculations!H24&lt;Year_Open_to_Traffic?+'Inputs &amp; Outputs'!B$21), 1, 0)</f>
        <v>1</v>
      </c>
      <c r="M24" s="65">
        <f t="shared" si="11"/>
        <v>5.8881606335909886E-2</v>
      </c>
      <c r="N24" s="71">
        <f t="shared" si="12"/>
        <v>0.5936480936444215</v>
      </c>
      <c r="O24" s="72">
        <f t="shared" si="7"/>
        <v>1</v>
      </c>
      <c r="P24" s="68">
        <f>(J24-K24)*L24</f>
        <v>18516.968419757846</v>
      </c>
      <c r="Q24" s="69">
        <f t="shared" si="0"/>
        <v>1</v>
      </c>
      <c r="R24" s="70">
        <f t="shared" si="1"/>
        <v>27.93745691239025</v>
      </c>
      <c r="S24" s="77">
        <f t="shared" si="2"/>
        <v>719.07064025135526</v>
      </c>
      <c r="T24" s="64">
        <f t="shared" si="9"/>
        <v>185.82151780648533</v>
      </c>
      <c r="W24" s="58"/>
    </row>
    <row r="25" spans="1:23">
      <c r="H25" s="14">
        <f t="shared" si="3"/>
        <v>2039</v>
      </c>
      <c r="I25" s="79">
        <f t="shared" si="10"/>
        <v>14371.122860432986</v>
      </c>
      <c r="J25" s="50">
        <f t="shared" si="4"/>
        <v>137863.66826801572</v>
      </c>
      <c r="K25" s="50">
        <f>IF(H25=Year_Open_to_Traffic?,Calculations!$E$4,K24+(K24*M25))</f>
        <v>118256.39100323124</v>
      </c>
      <c r="L25" s="50">
        <f>IF(AND(H25&gt;=Year_Open_to_Traffic?, Calculations!H25&lt;Year_Open_to_Traffic?+'Inputs &amp; Outputs'!B$21), 1, 0)</f>
        <v>1</v>
      </c>
      <c r="M25" s="65">
        <f t="shared" si="11"/>
        <v>5.8881606335909886E-2</v>
      </c>
      <c r="N25" s="71">
        <f t="shared" si="12"/>
        <v>0.62860304699645575</v>
      </c>
      <c r="O25" s="72">
        <f t="shared" si="7"/>
        <v>1</v>
      </c>
      <c r="P25" s="68">
        <f t="shared" si="8"/>
        <v>19607.277264784483</v>
      </c>
      <c r="Q25" s="69">
        <f t="shared" si="0"/>
        <v>1</v>
      </c>
      <c r="R25" s="70">
        <f t="shared" si="1"/>
        <v>28.580018421375218</v>
      </c>
      <c r="S25" s="77">
        <f t="shared" si="2"/>
        <v>778.92312013456728</v>
      </c>
      <c r="T25" s="64">
        <f t="shared" si="9"/>
        <v>188.12012707835711</v>
      </c>
      <c r="W25" s="58"/>
    </row>
    <row r="26" spans="1:23">
      <c r="H26" s="49">
        <f t="shared" si="3"/>
        <v>2040</v>
      </c>
      <c r="I26" s="79">
        <f t="shared" si="10"/>
        <v>15217.317659305996</v>
      </c>
      <c r="J26" s="50">
        <f t="shared" si="4"/>
        <v>145981.30251099748</v>
      </c>
      <c r="K26" s="50">
        <f>IF(H26=Year_Open_to_Traffic?,Calculations!$E$4,K25+(K25*M26))</f>
        <v>125219.51726498894</v>
      </c>
      <c r="L26" s="50">
        <f>IF(AND(H26&gt;=Year_Open_to_Traffic?, Calculations!H26&lt;Year_Open_to_Traffic?+'Inputs &amp; Outputs'!B$21), 1, 0)</f>
        <v>1</v>
      </c>
      <c r="M26" s="65">
        <f t="shared" si="11"/>
        <v>5.8881606335909886E-2</v>
      </c>
      <c r="N26" s="71">
        <f t="shared" si="12"/>
        <v>0.66561620415125455</v>
      </c>
      <c r="O26" s="72">
        <f t="shared" si="7"/>
        <v>1</v>
      </c>
      <c r="P26" s="68">
        <f t="shared" si="8"/>
        <v>20761.785246008541</v>
      </c>
      <c r="Q26" s="69">
        <f t="shared" si="0"/>
        <v>1</v>
      </c>
      <c r="R26" s="70">
        <f t="shared" si="1"/>
        <v>29.237358845066851</v>
      </c>
      <c r="S26" s="77">
        <f t="shared" si="2"/>
        <v>843.75747404745505</v>
      </c>
      <c r="T26" s="64">
        <f t="shared" si="9"/>
        <v>190.4471701110071</v>
      </c>
      <c r="W26" s="58"/>
    </row>
    <row r="27" spans="1:23">
      <c r="H27" s="14">
        <f t="shared" si="3"/>
        <v>2041</v>
      </c>
      <c r="I27" s="79">
        <f t="shared" si="10"/>
        <v>16113.337767209741</v>
      </c>
      <c r="J27" s="50">
        <f t="shared" si="4"/>
        <v>154576.91609785342</v>
      </c>
      <c r="K27" s="50">
        <f>IF(H27=Year_Open_to_Traffic?,Calculations!$E$4,K26+(K26*M27))</f>
        <v>132592.64358615869</v>
      </c>
      <c r="L27" s="50">
        <f>IF(AND(H27&gt;=Year_Open_to_Traffic?, Calculations!H27&lt;Year_Open_to_Traffic?+'Inputs &amp; Outputs'!B$21), 1, 0)</f>
        <v>1</v>
      </c>
      <c r="M27" s="65">
        <f t="shared" si="11"/>
        <v>5.8881606335909886E-2</v>
      </c>
      <c r="N27" s="71">
        <f t="shared" si="12"/>
        <v>0.7048087554548913</v>
      </c>
      <c r="O27" s="72">
        <f t="shared" si="7"/>
        <v>1</v>
      </c>
      <c r="P27" s="68">
        <f t="shared" si="8"/>
        <v>21984.272511694726</v>
      </c>
      <c r="Q27" s="69">
        <f t="shared" si="0"/>
        <v>1</v>
      </c>
      <c r="R27" s="70">
        <f t="shared" si="1"/>
        <v>29.909818098503379</v>
      </c>
      <c r="S27" s="77">
        <f t="shared" si="2"/>
        <v>913.98837267527699</v>
      </c>
      <c r="T27" s="64">
        <f t="shared" si="9"/>
        <v>192.80299862961192</v>
      </c>
      <c r="W27" s="58"/>
    </row>
    <row r="28" spans="1:23">
      <c r="H28" s="49">
        <f t="shared" si="3"/>
        <v>2042</v>
      </c>
      <c r="I28" s="79">
        <f t="shared" si="10"/>
        <v>17062.116978376136</v>
      </c>
      <c r="J28" s="50">
        <f t="shared" si="4"/>
        <v>163678.6532201462</v>
      </c>
      <c r="K28" s="50">
        <f>IF(H28=Year_Open_to_Traffic?,Calculations!$E$4,K27+(K27*M28))</f>
        <v>140399.91142883649</v>
      </c>
      <c r="L28" s="50">
        <f>IF(AND(H28&gt;=Year_Open_to_Traffic?, Calculations!H28&lt;Year_Open_to_Traffic?+'Inputs &amp; Outputs'!B$21), 1, 0)</f>
        <v>1</v>
      </c>
      <c r="M28" s="65">
        <f t="shared" si="11"/>
        <v>5.8881606335909886E-2</v>
      </c>
      <c r="N28" s="71">
        <f t="shared" si="12"/>
        <v>0.74630902713568881</v>
      </c>
      <c r="O28" s="72">
        <f t="shared" si="7"/>
        <v>1</v>
      </c>
      <c r="P28" s="68">
        <f t="shared" si="8"/>
        <v>23278.741791309702</v>
      </c>
      <c r="Q28" s="69">
        <f t="shared" si="0"/>
        <v>1</v>
      </c>
      <c r="R28" s="70">
        <f t="shared" si="1"/>
        <v>30.597743914768959</v>
      </c>
      <c r="S28" s="77">
        <f t="shared" si="2"/>
        <v>990.06500218404869</v>
      </c>
      <c r="T28" s="64">
        <f t="shared" si="9"/>
        <v>195.18796871018287</v>
      </c>
      <c r="W28" s="58"/>
    </row>
    <row r="29" spans="1:23">
      <c r="H29" s="14">
        <f t="shared" si="3"/>
        <v>2043</v>
      </c>
      <c r="I29" s="79">
        <f t="shared" si="10"/>
        <v>18066.761833554123</v>
      </c>
      <c r="J29" s="50">
        <f t="shared" si="4"/>
        <v>173316.31524464674</v>
      </c>
      <c r="K29" s="50">
        <f>IF(H29=Year_Open_to_Traffic?,Calculations!$E$4,K28+(K28*M29))</f>
        <v>148666.88374318587</v>
      </c>
      <c r="L29" s="50">
        <f>IF(AND(H29&gt;=Year_Open_to_Traffic?, Calculations!H29&lt;Year_Open_to_Traffic?+'Inputs &amp; Outputs'!B$21), 1, 0)</f>
        <v>1</v>
      </c>
      <c r="M29" s="65">
        <f t="shared" si="11"/>
        <v>5.8881606335909886E-2</v>
      </c>
      <c r="N29" s="71">
        <f t="shared" si="12"/>
        <v>0.79025290147642835</v>
      </c>
      <c r="O29" s="72">
        <f t="shared" si="7"/>
        <v>1</v>
      </c>
      <c r="P29" s="68">
        <f t="shared" si="8"/>
        <v>24649.431501460873</v>
      </c>
      <c r="Q29" s="69">
        <f t="shared" si="0"/>
        <v>1</v>
      </c>
      <c r="R29" s="70">
        <f t="shared" si="1"/>
        <v>31.301492024808638</v>
      </c>
      <c r="S29" s="77">
        <f t="shared" si="2"/>
        <v>1072.4739371470716</v>
      </c>
      <c r="T29" s="64">
        <f t="shared" si="9"/>
        <v>197.602440833386</v>
      </c>
      <c r="W29" s="58"/>
    </row>
    <row r="30" spans="1:23">
      <c r="H30" s="14">
        <f t="shared" si="3"/>
        <v>2044</v>
      </c>
      <c r="I30" s="79">
        <f t="shared" si="10"/>
        <v>19130.5617916021</v>
      </c>
      <c r="J30" s="50">
        <f t="shared" si="4"/>
        <v>183521.45829047248</v>
      </c>
      <c r="K30" s="50">
        <f>IF(H30=Year_Open_to_Traffic?,Calculations!$E$4,K29+(K29*M30))</f>
        <v>157420.62866693863</v>
      </c>
      <c r="L30" s="50">
        <f>IF(AND(H30&gt;=Year_Open_to_Traffic?, Calculations!H30&lt;Year_Open_to_Traffic?+'Inputs &amp; Outputs'!B$21), 1, 0)</f>
        <v>1</v>
      </c>
      <c r="M30" s="65">
        <f t="shared" si="11"/>
        <v>5.8881606335909886E-2</v>
      </c>
      <c r="N30" s="71">
        <f t="shared" si="12"/>
        <v>0.83678426172697395</v>
      </c>
      <c r="O30" s="72">
        <f t="shared" si="7"/>
        <v>1</v>
      </c>
      <c r="P30" s="68">
        <f t="shared" si="8"/>
        <v>26100.829623533849</v>
      </c>
      <c r="Q30" s="69">
        <f t="shared" si="0"/>
        <v>1</v>
      </c>
      <c r="R30" s="70">
        <f t="shared" si="1"/>
        <v>32.021426341379232</v>
      </c>
      <c r="S30" s="77">
        <f t="shared" si="2"/>
        <v>1161.7422526020405</v>
      </c>
      <c r="T30" s="64">
        <f t="shared" si="9"/>
        <v>200.04677993902791</v>
      </c>
      <c r="W30" s="58"/>
    </row>
    <row r="31" spans="1:23">
      <c r="H31" s="14">
        <f t="shared" si="3"/>
        <v>2045</v>
      </c>
      <c r="I31" s="79">
        <f t="shared" si="10"/>
        <v>20257.000000000015</v>
      </c>
      <c r="J31" s="50">
        <f t="shared" si="4"/>
        <v>194327.49655172418</v>
      </c>
      <c r="K31" s="50">
        <f>IF(H31=Year_Open_to_Traffic?,Calculations!$E$4,K30+(K30*M31))</f>
        <v>166689.80815325677</v>
      </c>
      <c r="L31" s="50">
        <f>IF(AND(H31&gt;=Year_Open_to_Traffic?, Calculations!H31&lt;Year_Open_to_Traffic?+'Inputs &amp; Outputs'!B$21), 1, 0)</f>
        <v>0</v>
      </c>
      <c r="M31" s="65">
        <f t="shared" si="11"/>
        <v>5.8881606335909886E-2</v>
      </c>
      <c r="N31" s="71">
        <f t="shared" si="12"/>
        <v>0.88605546321406659</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21449.76469954654</v>
      </c>
      <c r="J32" s="50">
        <f t="shared" si="4"/>
        <v>205769.81170392569</v>
      </c>
      <c r="K32" s="50">
        <f>IF(H32=Year_Open_to_Traffic?,Calculations!$E$4,K31+(K31*M32))</f>
        <v>176504.77181714517</v>
      </c>
      <c r="L32" s="50">
        <f>IF(AND(H32&gt;=Year_Open_to_Traffic?, Calculations!H32&lt;Year_Open_to_Traffic?+'Inputs &amp; Outputs'!B$21), 1, 0)</f>
        <v>0</v>
      </c>
      <c r="M32" s="65">
        <f t="shared" si="11"/>
        <v>5.8881606335909886E-2</v>
      </c>
      <c r="N32" s="71">
        <f t="shared" si="12"/>
        <v>0.93822783219081951</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22712.761300583137</v>
      </c>
      <c r="J33" s="50">
        <f t="shared" si="4"/>
        <v>217885.86875249055</v>
      </c>
      <c r="K33" s="50">
        <f>IF(H33=Year_Open_to_Traffic?,Calculations!$E$4,K32+(K32*M33))</f>
        <v>186897.65630769191</v>
      </c>
      <c r="L33" s="50">
        <f>IF(AND(H33&gt;=Year_Open_to_Traffic?, Calculations!H33&lt;Year_Open_to_Traffic?+'Inputs &amp; Outputs'!B$21), 1, 0)</f>
        <v>0</v>
      </c>
      <c r="M33" s="65">
        <f t="shared" si="11"/>
        <v>5.8881606335909886E-2</v>
      </c>
      <c r="N33" s="71">
        <f t="shared" si="12"/>
        <v>0.99347219405927345</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24050.125170285562</v>
      </c>
      <c r="J34" s="50">
        <f t="shared" si="4"/>
        <v>230715.33870253243</v>
      </c>
      <c r="K34" s="50">
        <f>IF(H34=Year_Open_to_Traffic?,Calculations!$E$4,K33+(K33*M34))</f>
        <v>197902.49053150561</v>
      </c>
      <c r="L34" s="50">
        <f>IF(AND(H34&gt;=Year_Open_to_Traffic?, Calculations!H34&lt;Year_Open_to_Traffic?+'Inputs &amp; Outputs'!B$21), 1, 0)</f>
        <v>0</v>
      </c>
      <c r="M34" s="65">
        <f t="shared" si="11"/>
        <v>5.8881606335909886E-2</v>
      </c>
      <c r="N34" s="71">
        <f t="shared" si="12"/>
        <v>1.0519694326955442</v>
      </c>
      <c r="O34" s="72">
        <f t="shared" si="7"/>
        <v>0</v>
      </c>
      <c r="P34" s="68">
        <f t="shared" si="8"/>
        <v>0</v>
      </c>
      <c r="Q34" s="69">
        <f t="shared" si="0"/>
        <v>0</v>
      </c>
      <c r="R34" s="70">
        <f t="shared" si="1"/>
        <v>35.070600951678806</v>
      </c>
      <c r="S34" s="77">
        <f t="shared" si="2"/>
        <v>0</v>
      </c>
      <c r="T34" s="64">
        <f t="shared" si="9"/>
        <v>0</v>
      </c>
      <c r="W34" s="58"/>
    </row>
    <row r="35" spans="8:23">
      <c r="H35" s="14">
        <f t="shared" si="3"/>
        <v>2049</v>
      </c>
      <c r="I35" s="79">
        <f t="shared" si="10"/>
        <v>25466.235172891676</v>
      </c>
      <c r="J35" s="50">
        <f t="shared" si="4"/>
        <v>244300.22845167105</v>
      </c>
      <c r="K35" s="50">
        <f>IF(H35=Year_Open_to_Traffic?,Calculations!$E$4,K34+(K34*M35))</f>
        <v>209555.30707187785</v>
      </c>
      <c r="L35" s="50">
        <f>IF(AND(H35&gt;=Year_Open_to_Traffic?, Calculations!H35&lt;Year_Open_to_Traffic?+'Inputs &amp; Outputs'!B$21), 1, 0)</f>
        <v>0</v>
      </c>
      <c r="M35" s="65">
        <f t="shared" si="11"/>
        <v>5.8881606335909886E-2</v>
      </c>
      <c r="N35" s="71">
        <f t="shared" si="12"/>
        <v>1.1139110827089338</v>
      </c>
      <c r="O35" s="72">
        <f t="shared" si="7"/>
        <v>0</v>
      </c>
      <c r="P35" s="68">
        <f t="shared" si="8"/>
        <v>0</v>
      </c>
      <c r="Q35" s="69">
        <f t="shared" si="0"/>
        <v>0</v>
      </c>
      <c r="R35" s="70">
        <f t="shared" si="1"/>
        <v>35.877224773567399</v>
      </c>
      <c r="S35" s="77">
        <f t="shared" si="2"/>
        <v>0</v>
      </c>
      <c r="T35" s="64">
        <f t="shared" si="9"/>
        <v>0</v>
      </c>
      <c r="W35" s="58"/>
    </row>
    <row r="36" spans="8:23">
      <c r="H36" s="14">
        <f t="shared" si="3"/>
        <v>2050</v>
      </c>
      <c r="I36" s="79">
        <f t="shared" si="10"/>
        <v>26965.728007199585</v>
      </c>
      <c r="J36" s="50">
        <f t="shared" si="4"/>
        <v>258685.01833113519</v>
      </c>
      <c r="K36" s="50">
        <f>IF(H36=Year_Open_to_Traffic?,Calculations!$E$4,K35+(K35*M36))</f>
        <v>221894.26016848488</v>
      </c>
      <c r="L36" s="50">
        <f>IF(AND(H36&gt;=Year_Open_to_Traffic?, Calculations!H36&lt;Year_Open_to_Traffic?+'Inputs &amp; Outputs'!B$21), 1, 0)</f>
        <v>0</v>
      </c>
      <c r="M36" s="65">
        <f t="shared" si="11"/>
        <v>5.8881606335909886E-2</v>
      </c>
      <c r="N36" s="71">
        <f t="shared" si="12"/>
        <v>1.1794999565742084</v>
      </c>
      <c r="O36" s="72">
        <f t="shared" si="7"/>
        <v>0</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3568.8584685788283</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B11" sqref="B11"/>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52</v>
      </c>
      <c r="N5" s="44" t="s">
        <v>123</v>
      </c>
    </row>
    <row r="6" spans="2:14">
      <c r="B6" s="73" t="s">
        <v>157</v>
      </c>
      <c r="C6" s="81">
        <v>0.3</v>
      </c>
      <c r="D6" s="74">
        <v>0.2</v>
      </c>
      <c r="E6" s="74">
        <v>0.1</v>
      </c>
      <c r="F6" s="74">
        <v>0.3</v>
      </c>
      <c r="G6" s="91">
        <v>0.2</v>
      </c>
      <c r="H6" s="93"/>
      <c r="L6" s="44" t="s">
        <v>158</v>
      </c>
      <c r="N6" s="44" t="s">
        <v>55</v>
      </c>
    </row>
    <row r="7" spans="2:14">
      <c r="B7" s="73" t="s">
        <v>159</v>
      </c>
      <c r="C7" s="81">
        <v>0.3</v>
      </c>
      <c r="D7" s="74">
        <v>0.2</v>
      </c>
      <c r="E7" s="74">
        <v>0.15</v>
      </c>
      <c r="F7" s="74">
        <v>0.3</v>
      </c>
      <c r="G7" s="91">
        <v>0.25</v>
      </c>
      <c r="H7" s="93"/>
      <c r="L7" s="44" t="s">
        <v>160</v>
      </c>
    </row>
    <row r="8" spans="2:14">
      <c r="B8" s="73" t="s">
        <v>161</v>
      </c>
      <c r="C8" s="81">
        <v>0.2</v>
      </c>
      <c r="D8" s="74">
        <v>0.02</v>
      </c>
      <c r="E8" s="74">
        <v>0.02</v>
      </c>
      <c r="F8" s="74">
        <v>0.2</v>
      </c>
      <c r="G8" s="91">
        <v>0.15</v>
      </c>
      <c r="H8" s="93"/>
      <c r="L8" s="44" t="s">
        <v>162</v>
      </c>
    </row>
    <row r="9" spans="2:14">
      <c r="B9" s="73" t="s">
        <v>163</v>
      </c>
      <c r="C9" s="81">
        <v>0.2</v>
      </c>
      <c r="D9" s="74">
        <v>0.02</v>
      </c>
      <c r="E9" s="74">
        <v>0.02</v>
      </c>
      <c r="F9" s="74">
        <v>0.2</v>
      </c>
      <c r="G9" s="91">
        <v>0.15</v>
      </c>
      <c r="H9" s="93"/>
      <c r="L9" s="44" t="s">
        <v>164</v>
      </c>
    </row>
    <row r="10" spans="2:14">
      <c r="B10" s="73" t="s">
        <v>165</v>
      </c>
      <c r="C10" s="81">
        <v>0.3</v>
      </c>
      <c r="D10" s="74">
        <v>0.1</v>
      </c>
      <c r="E10" s="74">
        <v>0.1</v>
      </c>
      <c r="F10" s="74">
        <v>0.3</v>
      </c>
      <c r="G10" s="91">
        <v>0.22</v>
      </c>
      <c r="H10" s="93"/>
      <c r="L10" s="44" t="s">
        <v>166</v>
      </c>
    </row>
    <row r="11" spans="2:14">
      <c r="B11" s="73" t="s">
        <v>73</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6F9670-D2B8-4309-BAA6-476DBE775839}"/>
</file>

<file path=customXml/itemProps2.xml><?xml version="1.0" encoding="utf-8"?>
<ds:datastoreItem xmlns:ds="http://schemas.openxmlformats.org/officeDocument/2006/customXml" ds:itemID="{260C2A4D-4BB9-4FA3-A931-8FD891635381}"/>
</file>

<file path=customXml/itemProps3.xml><?xml version="1.0" encoding="utf-8"?>
<ds:datastoreItem xmlns:ds="http://schemas.openxmlformats.org/officeDocument/2006/customXml" ds:itemID="{5E804C60-CCA3-43BC-A838-4B17A345178D}"/>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2018-10-31T00:25:59Z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