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6_HW_FM517/"/>
    </mc:Choice>
  </mc:AlternateContent>
  <xr:revisionPtr revIDLastSave="35" documentId="8_{9F6E88E6-FBE1-4B3E-AA18-2CDE3044A546}" xr6:coauthVersionLast="40" xr6:coauthVersionMax="40" xr10:uidLastSave="{3A6D9AF6-C0A4-401B-989A-C2908873C90B}"/>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<sst xmlns="http://schemas.openxmlformats.org/spreadsheetml/2006/main" count="441" uniqueCount="286">
  <si>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</si>
  <si>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</si>
  <si>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</si>
  <si>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</si>
  <si>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</si>
  <si>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</si>
  <si>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</si>
  <si>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</si>
  <si>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</si>
  <si>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</si>
  <si>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</si>
  <si>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</si>
  <si>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</si>
  <si>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</si>
  <si>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</si>
  <si>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</si>
  <si>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</si>
  <si>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</si>
  <si>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</si>
  <si>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</si>
  <si>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</si>
  <si>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</si>
  <si>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</si>
  <si>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</si>
  <si>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</si>
  <si>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</si>
  <si>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</si>
  <si>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</si>
  <si>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</si>
  <si>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</si>
  <si>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</si>
  <si>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</si>
  <si>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</si>
  <si>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</si>
  <si>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</si>
  <si>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</si>
  <si>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</si>
  <si>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</si>
  <si>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</si>
  <si>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</si>
  <si>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</si>
  <si>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</si>
  <si>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</si>
  <si>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</si>
  <si>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</si>
  <si>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</si>
  <si>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</si>
  <si>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</si>
  <si>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517 Widening and Access Management</t>
  </si>
  <si>
    <t>County</t>
  </si>
  <si>
    <t>Brazoria</t>
  </si>
  <si>
    <t>Data entered by the sponsors</t>
  </si>
  <si>
    <t>Facility Type</t>
  </si>
  <si>
    <t>Non-Freeway</t>
  </si>
  <si>
    <t>HGAC regional travel demand model data provided by HGAC upon request</t>
  </si>
  <si>
    <t>Street Name:</t>
  </si>
  <si>
    <t>FM 517</t>
  </si>
  <si>
    <t>Populated based on selection in cell "C18"</t>
  </si>
  <si>
    <t>Limits (From)</t>
  </si>
  <si>
    <t>Galveston County Line</t>
  </si>
  <si>
    <t>Benefits calculated by the template</t>
  </si>
  <si>
    <t>Limits (To)</t>
  </si>
  <si>
    <t>SH 35</t>
  </si>
  <si>
    <t>Length (in Miles)</t>
  </si>
  <si>
    <t>Application ID Number:</t>
  </si>
  <si>
    <t>Sponsor ID Number (CSJ, etc.):</t>
  </si>
  <si>
    <t>1002-01-006</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</si>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</sst>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8" zoomScaleNormal="100" workbookViewId="0" xr3:uid="{51F8DEE0-4D01-5F28-A812-FC0BD7CAC4A5}">
      <selection activeCell="F32" sqref="F32"/>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1.07</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2025</v>
      </c>
      <c r="D17" s="80"/>
    </row>
    <row r="18" spans="2:13" ht="30">
      <c r="B18" s="3" t="s">
        <v>69</v>
      </c>
      <c r="C18" s="98" t="s">
        <v>70</v>
      </c>
    </row>
    <row r="19" spans="2:13">
      <c r="B19" s="99" t="s">
        <v>71</v>
      </c>
      <c r="C19" s="128">
        <f>VLOOKUP(C18,'CRF Lookup Table'!C3:F84,2, FALSE)</f>
        <v>538</v>
      </c>
      <c r="D19" s="81"/>
    </row>
    <row r="20" spans="2:13">
      <c r="B20" s="99" t="s">
        <v>72</v>
      </c>
      <c r="C20" s="129">
        <f>VLOOKUP(C18,'CRF Lookup Table'!C3:F84,3, FALSE)</f>
        <v>0.45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13400</v>
      </c>
      <c r="D25" s="82"/>
      <c r="I25" s="41"/>
    </row>
    <row r="26" spans="2:13">
      <c r="I26" s="41"/>
    </row>
    <row r="27" spans="2:13">
      <c r="B27" s="73" t="s">
        <v>76</v>
      </c>
      <c r="C27" s="74">
        <v>5084</v>
      </c>
      <c r="D27" s="82"/>
      <c r="I27" s="41"/>
    </row>
    <row r="28" spans="2:13">
      <c r="B28" s="73" t="s">
        <v>77</v>
      </c>
      <c r="C28" s="74">
        <v>11746</v>
      </c>
      <c r="D28" s="82"/>
      <c r="I28" s="41"/>
    </row>
    <row r="29" spans="2:13">
      <c r="B29" s="73" t="s">
        <v>78</v>
      </c>
      <c r="C29" s="75">
        <v>6451</v>
      </c>
      <c r="D29" s="58"/>
      <c r="I29" s="41"/>
    </row>
    <row r="30" spans="2:13">
      <c r="B30" s="73" t="s">
        <v>79</v>
      </c>
      <c r="C30" s="75">
        <v>22862</v>
      </c>
      <c r="D30" s="58"/>
      <c r="I30" s="41"/>
    </row>
    <row r="31" spans="2:13">
      <c r="B31" s="73" t="s">
        <v>80</v>
      </c>
      <c r="C31" s="74">
        <v>20862</v>
      </c>
      <c r="D31" s="82"/>
      <c r="H31" s="59"/>
    </row>
    <row r="32" spans="2:13">
      <c r="B32" s="73" t="s">
        <v>81</v>
      </c>
      <c r="C32" s="74">
        <v>22862</v>
      </c>
      <c r="D32" s="82"/>
    </row>
    <row r="34" spans="2:9" ht="18.75">
      <c r="B34" s="43" t="s">
        <v>82</v>
      </c>
      <c r="C34" s="44"/>
      <c r="D34" s="44"/>
      <c r="E34" s="44"/>
      <c r="F34" s="44"/>
      <c r="I34" s="59"/>
    </row>
    <row r="36" spans="2:9">
      <c r="B36" s="9" t="s">
        <v>83</v>
      </c>
    </row>
    <row r="37" spans="2:9">
      <c r="B37" s="8" t="s">
        <v>84</v>
      </c>
      <c r="C37" s="34">
        <f>Calculations!U37</f>
        <v>10515.970087497151</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F9"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17003.029110936273</v>
      </c>
      <c r="G4" s="136" t="s">
        <v>95</v>
      </c>
      <c r="H4" s="136"/>
      <c r="I4" s="136"/>
      <c r="J4" s="136"/>
      <c r="L4" s="106"/>
      <c r="M4" s="107">
        <v>2018</v>
      </c>
      <c r="N4" s="108">
        <f>_2018_Volume_ADT</f>
        <v>13400</v>
      </c>
      <c r="O4" s="109" t="s">
        <v>96</v>
      </c>
      <c r="P4" s="110">
        <f>MIN(B12,1)</f>
        <v>0.43282819683296442</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18193.241148701814</v>
      </c>
      <c r="G5" s="137" t="s">
        <v>99</v>
      </c>
      <c r="H5" s="137"/>
      <c r="I5" s="137"/>
      <c r="J5" s="111">
        <f>SUMPRODUCT(Possible_Crash_Reductions,'Value of Statistical Life'!E5:E11)</f>
        <v>918225.09455478482</v>
      </c>
      <c r="L5" s="106"/>
      <c r="M5" s="11">
        <f t="shared" ref="M5:M36" si="1">M4+1</f>
        <v>2019</v>
      </c>
      <c r="N5" s="112">
        <f>N4+(N4*O5)</f>
        <v>13863.70467227265</v>
      </c>
      <c r="O5" s="113">
        <f t="shared" ref="O5:O11" si="2">IF(ISERROR(_2025_2045_Demand_Growth),_2018_2045_Demand_Growth,_2018_2025_Demand_Growth)</f>
        <v>3.4604826289003743E-2</v>
      </c>
      <c r="P5" s="114">
        <f t="shared" ref="P5:P11" si="3">P4*(1+IFERROR(_2018_2025_V_C_Growth,_2018_2045_V_C_Growth))</f>
        <v>0.40716674402688408</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4730242.698662472</v>
      </c>
      <c r="L6" s="106"/>
      <c r="M6" s="107">
        <f t="shared" si="1"/>
        <v>2020</v>
      </c>
      <c r="N6" s="112">
        <f t="shared" ref="N6:N36" si="6">N5+(N5*O6)</f>
        <v>14343.455764178694</v>
      </c>
      <c r="O6" s="113">
        <f t="shared" si="2"/>
        <v>3.4604826289003743E-2</v>
      </c>
      <c r="P6" s="114">
        <f t="shared" si="3"/>
        <v>0.38302670356162871</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14839.808559282108</v>
      </c>
      <c r="O7" s="113">
        <f t="shared" si="2"/>
        <v>3.4604826289003743E-2</v>
      </c>
      <c r="P7" s="114">
        <f t="shared" si="3"/>
        <v>0.3603178741719657</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15353.337556638136</v>
      </c>
      <c r="O8" s="113">
        <f t="shared" si="2"/>
        <v>3.4604826289003743E-2</v>
      </c>
      <c r="P8" s="114">
        <f t="shared" si="3"/>
        <v>0.33895540243166133</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3.4604826289003743E-2</v>
      </c>
      <c r="D9" s="39" t="s">
        <v>104</v>
      </c>
      <c r="E9" s="119">
        <f>IF('Inputs &amp; Outputs'!$C$8='CRASH RATES'!$D$3, VLOOKUP('Inputs &amp; Outputs'!$C$7,'CRASH RATES'!$C$14:$J$21,3,FALSE), VLOOKUP('Inputs &amp; Outputs'!$C$7,'CRASH RATES'!$C$28:$J$35,3,FALSE))</f>
        <v>2.3625405586197226</v>
      </c>
      <c r="F9" s="85"/>
      <c r="L9" s="106"/>
      <c r="M9" s="11">
        <f t="shared" si="1"/>
        <v>2023</v>
      </c>
      <c r="N9" s="112">
        <f t="shared" si="6"/>
        <v>15884.637135742036</v>
      </c>
      <c r="O9" s="113">
        <f t="shared" si="2"/>
        <v>3.4604826289003743E-2</v>
      </c>
      <c r="P9" s="114">
        <f t="shared" si="3"/>
        <v>0.31885946569160928</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6.0440839762140097E-2</v>
      </c>
      <c r="D10" s="39" t="s">
        <v>106</v>
      </c>
      <c r="E10" s="119">
        <f>IF('Inputs &amp; Outputs'!$C$8='CRASH RATES'!$D$3, VLOOKUP('Inputs &amp; Outputs'!$C$7,'CRASH RATES'!$C$14:$J$21,4,FALSE), VLOOKUP('Inputs &amp; Outputs'!$C$7,'CRASH RATES'!$C$28:$J$35,4,FALSE))</f>
        <v>8.4203368627728583</v>
      </c>
      <c r="F10" s="85"/>
      <c r="L10" s="106"/>
      <c r="M10" s="107">
        <f t="shared" si="1"/>
        <v>2024</v>
      </c>
      <c r="N10" s="112">
        <f t="shared" si="6"/>
        <v>16434.322244488249</v>
      </c>
      <c r="O10" s="113">
        <f t="shared" si="2"/>
        <v>3.4604826289003743E-2</v>
      </c>
      <c r="P10" s="114">
        <f t="shared" si="3"/>
        <v>0.2999549738158756</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5.3681303590010776E-2</v>
      </c>
      <c r="D11" s="39" t="s">
        <v>108</v>
      </c>
      <c r="E11" s="119">
        <f>IF('Inputs &amp; Outputs'!$C$8='CRASH RATES'!$D$3, VLOOKUP('Inputs &amp; Outputs'!$C$7,'CRASH RATES'!$C$14:$J$21,5,FALSE), VLOOKUP('Inputs &amp; Outputs'!$C$7,'CRASH RATES'!$C$28:$J$35,5,FALSE))</f>
        <v>41.314170794324376</v>
      </c>
      <c r="F11" s="85"/>
      <c r="L11" s="106"/>
      <c r="M11" s="11">
        <f t="shared" si="1"/>
        <v>2025</v>
      </c>
      <c r="N11" s="112">
        <f t="shared" si="6"/>
        <v>17003.029110936273</v>
      </c>
      <c r="O11" s="113">
        <f t="shared" si="2"/>
        <v>3.4604826289003743E-2</v>
      </c>
      <c r="P11" s="114">
        <f t="shared" si="3"/>
        <v>0.28217128860117213</v>
      </c>
      <c r="Q11" s="115">
        <f t="shared" si="4"/>
        <v>1</v>
      </c>
      <c r="R11" s="30">
        <f>IF(M11=Year_Open_to_Traffic?,Calculations!$J$5,Calculations!R10+(Calculations!R10*Calculations!O11*Q11))</f>
        <v>918225.09455478482</v>
      </c>
      <c r="S11" s="45">
        <f t="shared" si="0"/>
        <v>1</v>
      </c>
      <c r="T11" s="30">
        <f t="shared" si="5"/>
        <v>918.22509455478485</v>
      </c>
      <c r="U11" s="31">
        <f>T11/(1+Real_Discount_Rate)^(Calculations!M11-'Assumed Values'!$C$5)</f>
        <v>571.82444062594652</v>
      </c>
    </row>
    <row r="12" spans="1:21" ht="15.75">
      <c r="A12" s="39" t="s">
        <v>109</v>
      </c>
      <c r="B12" s="120">
        <f>'Inputs &amp; Outputs'!C27/_2018_Peak_Period_Capacity</f>
        <v>0.43282819683296442</v>
      </c>
      <c r="D12" s="39" t="s">
        <v>110</v>
      </c>
      <c r="E12" s="119">
        <f>IF('Inputs &amp; Outputs'!$C$8='CRASH RATES'!$D$3, VLOOKUP('Inputs &amp; Outputs'!$C$7,'CRASH RATES'!$C$14:$J$21,6,FALSE), VLOOKUP('Inputs &amp; Outputs'!$C$7,'CRASH RATES'!$C$28:$J$35,6,FALSE))</f>
        <v>65.121310269646187</v>
      </c>
      <c r="F12" s="85"/>
      <c r="L12" s="106"/>
      <c r="M12" s="107">
        <f t="shared" si="1"/>
        <v>2026</v>
      </c>
      <c r="N12" s="112">
        <f t="shared" si="6"/>
        <v>18030.706468901375</v>
      </c>
      <c r="O12" s="113">
        <f t="shared" ref="O12:O36" si="7">IFERROR(_2025_2045_Demand_Growth,_2018_2045_Demand_Growth)</f>
        <v>6.0440839762140097E-2</v>
      </c>
      <c r="P12" s="114">
        <f t="shared" ref="P12:P36" si="8">P11*(1+IFERROR(_2025_2040_V_C_Growth,_2018_2045_V_C_Growth))</f>
        <v>0.29922595824099218</v>
      </c>
      <c r="Q12" s="115">
        <f t="shared" si="4"/>
        <v>1</v>
      </c>
      <c r="R12" s="30">
        <f>IF(M12=Year_Open_to_Traffic?,Calculations!$J$5,Calculations!R11+(Calculations!R11*Calculations!O12*Q12))</f>
        <v>973723.39036034653</v>
      </c>
      <c r="S12" s="45">
        <f t="shared" si="0"/>
        <v>1</v>
      </c>
      <c r="T12" s="30">
        <f t="shared" si="5"/>
        <v>973.72339036034657</v>
      </c>
      <c r="U12" s="31">
        <f>T12/(1+Real_Discount_Rate)^(Calculations!M12-'Assumed Values'!$C$5)</f>
        <v>566.71587851765867</v>
      </c>
    </row>
    <row r="13" spans="1:21" ht="15.75">
      <c r="A13" s="39" t="s">
        <v>111</v>
      </c>
      <c r="B13" s="120">
        <f>_2025_Peak_Period_Volume/_2025_Peak_Period_Capacity</f>
        <v>0.28217128860117224</v>
      </c>
      <c r="D13" s="39" t="s">
        <v>112</v>
      </c>
      <c r="E13" s="119">
        <f>IF('Inputs &amp; Outputs'!$C$8='CRASH RATES'!$D$3, VLOOKUP('Inputs &amp; Outputs'!$C$7,'CRASH RATES'!$C$14:$J$21,7,FALSE), VLOOKUP('Inputs &amp; Outputs'!$C$7,'CRASH RATES'!$C$28:$J$35,7,FALSE))</f>
        <v>615.29037061283384</v>
      </c>
      <c r="F13" s="85"/>
      <c r="L13" s="106"/>
      <c r="M13" s="11">
        <f t="shared" si="1"/>
        <v>2027</v>
      </c>
      <c r="N13" s="112">
        <f t="shared" si="6"/>
        <v>19120.497509386427</v>
      </c>
      <c r="O13" s="113">
        <f t="shared" si="7"/>
        <v>6.0440839762140097E-2</v>
      </c>
      <c r="P13" s="114">
        <f t="shared" si="8"/>
        <v>0.31731142643570881</v>
      </c>
      <c r="Q13" s="115">
        <f t="shared" si="4"/>
        <v>1</v>
      </c>
      <c r="R13" s="30">
        <f>IF(M13=Year_Open_to_Traffic?,Calculations!$J$5,Calculations!R12+(Calculations!R12*Calculations!O13*Q13))</f>
        <v>1032576.0497697641</v>
      </c>
      <c r="S13" s="45">
        <f t="shared" si="0"/>
        <v>1</v>
      </c>
      <c r="T13" s="30">
        <f t="shared" si="5"/>
        <v>1032.576049769764</v>
      </c>
      <c r="U13" s="31">
        <f>T13/(1+Real_Discount_Rate)^(Calculations!M13-'Assumed Values'!$C$5)</f>
        <v>561.65295525402325</v>
      </c>
    </row>
    <row r="14" spans="1:21" ht="15.75">
      <c r="A14" s="39" t="s">
        <v>113</v>
      </c>
      <c r="B14" s="120">
        <f>_2045_Peak_Period_Volume/_2045_Peak_Period_Capacity</f>
        <v>0.9125185897996676</v>
      </c>
      <c r="D14" s="39" t="s">
        <v>114</v>
      </c>
      <c r="E14" s="119">
        <f>IF('Inputs &amp; Outputs'!$C$8='CRASH RATES'!$D$3, VLOOKUP('Inputs &amp; Outputs'!$C$7,'CRASH RATES'!$C$14:$J$21,8,FALSE), VLOOKUP('Inputs &amp; Outputs'!$C$7,'CRASH RATES'!$C$28:$J$35,8,FALSE))</f>
        <v>20.354195581954531</v>
      </c>
      <c r="F14" s="85"/>
      <c r="L14" s="106"/>
      <c r="M14" s="107">
        <f>M13+1</f>
        <v>2028</v>
      </c>
      <c r="N14" s="112">
        <f t="shared" si="6"/>
        <v>20276.156435523651</v>
      </c>
      <c r="O14" s="113">
        <f t="shared" si="7"/>
        <v>6.0440839762140097E-2</v>
      </c>
      <c r="P14" s="114">
        <f>P13*(1+IFERROR(_2025_2040_V_C_Growth,_2018_2045_V_C_Growth))</f>
        <v>0.3364899955156056</v>
      </c>
      <c r="Q14" s="115">
        <f t="shared" si="4"/>
        <v>1</v>
      </c>
      <c r="R14" s="30">
        <f>IF(M14=Year_Open_to_Traffic?,Calculations!$J$5,Calculations!R13+(Calculations!R13*Calculations!O14*Q14))</f>
        <v>1094985.8133361221</v>
      </c>
      <c r="S14" s="45">
        <f t="shared" si="0"/>
        <v>1</v>
      </c>
      <c r="T14" s="30">
        <f t="shared" si="5"/>
        <v>1094.9858133361222</v>
      </c>
      <c r="U14" s="31">
        <f>T14/(1+Real_Discount_Rate)^(Calculations!M14-'Assumed Values'!$C$5)</f>
        <v>556.63526310697591</v>
      </c>
    </row>
    <row r="15" spans="1:21" ht="15.75">
      <c r="A15" s="39" t="s">
        <v>115</v>
      </c>
      <c r="B15" s="118">
        <f>(B13/B12)^(1/(2025-2018))-1</f>
        <v>-5.9287849067706455E-2</v>
      </c>
      <c r="L15" s="106"/>
      <c r="M15" s="11">
        <f>M14+1</f>
        <v>2029</v>
      </c>
      <c r="N15" s="112">
        <f t="shared" si="6"/>
        <v>21501.664357635222</v>
      </c>
      <c r="O15" s="113">
        <f t="shared" si="7"/>
        <v>6.0440839762140097E-2</v>
      </c>
      <c r="P15" s="114">
        <f>P14*(1+IFERROR(_2025_2040_V_C_Growth,_2018_2045_V_C_Growth))</f>
        <v>0.35682773341612756</v>
      </c>
      <c r="Q15" s="115">
        <f t="shared" si="4"/>
        <v>1</v>
      </c>
      <c r="R15" s="30">
        <f>IF(M15=Year_Open_to_Traffic?,Calculations!$J$5,Calculations!R14+(Calculations!R14*Calculations!O15*Q15))</f>
        <v>1161167.6754217872</v>
      </c>
      <c r="S15" s="45">
        <f t="shared" si="0"/>
        <v>1</v>
      </c>
      <c r="T15" s="30">
        <f t="shared" si="5"/>
        <v>1161.1676754217872</v>
      </c>
      <c r="U15" s="31">
        <f>T15/(1+Real_Discount_Rate)^(Calculations!M15-'Assumed Values'!$C$5)</f>
        <v>551.66239799101049</v>
      </c>
    </row>
    <row r="16" spans="1:21" ht="15.75">
      <c r="A16" s="39" t="s">
        <v>116</v>
      </c>
      <c r="B16" s="118">
        <f>(B14/B13)^(1/(2045-2025))-1</f>
        <v>6.0440839762140097E-2</v>
      </c>
      <c r="D16" s="121" t="s">
        <v>117</v>
      </c>
      <c r="E16" s="57"/>
      <c r="L16" s="106"/>
      <c r="M16" s="107">
        <f t="shared" si="1"/>
        <v>2030</v>
      </c>
      <c r="N16" s="112">
        <f t="shared" si="6"/>
        <v>22801.243007694371</v>
      </c>
      <c r="O16" s="113">
        <f t="shared" si="7"/>
        <v>6.0440839762140097E-2</v>
      </c>
      <c r="P16" s="114">
        <f t="shared" si="8"/>
        <v>0.37839470127421937</v>
      </c>
      <c r="Q16" s="115">
        <f t="shared" si="4"/>
        <v>1</v>
      </c>
      <c r="R16" s="30">
        <f>IF(M16=Year_Open_to_Traffic?,Calculations!$J$5,Calculations!R15+(Calculations!R15*Calculations!O16*Q16))</f>
        <v>1231349.6248289321</v>
      </c>
      <c r="S16" s="45">
        <f t="shared" si="0"/>
        <v>1</v>
      </c>
      <c r="T16" s="30">
        <f t="shared" si="5"/>
        <v>1231.3496248289321</v>
      </c>
      <c r="U16" s="31">
        <f>T16/(1+Real_Discount_Rate)^(Calculations!M16-'Assumed Values'!$C$5)</f>
        <v>546.73395943063849</v>
      </c>
    </row>
    <row r="17" spans="1:21" ht="15.75">
      <c r="A17" s="39" t="s">
        <v>118</v>
      </c>
      <c r="B17" s="118">
        <f>(B14/B12)^(1/(2045-2018))-1</f>
        <v>2.8009825919698361E-2</v>
      </c>
      <c r="D17" s="39" t="s">
        <v>119</v>
      </c>
      <c r="E17" s="122">
        <f>($E$6*Death_Rate)/100000000</f>
        <v>0.11175390227704901</v>
      </c>
      <c r="L17" s="106"/>
      <c r="M17" s="11">
        <f t="shared" si="1"/>
        <v>2031</v>
      </c>
      <c r="N17" s="112">
        <f t="shared" si="6"/>
        <v>24179.369282700045</v>
      </c>
      <c r="O17" s="113">
        <f t="shared" si="7"/>
        <v>6.0440839762140097E-2</v>
      </c>
      <c r="P17" s="114">
        <f t="shared" si="8"/>
        <v>0.40126519478077732</v>
      </c>
      <c r="Q17" s="115">
        <f t="shared" si="4"/>
        <v>1</v>
      </c>
      <c r="R17" s="30">
        <f>IF(M17=Year_Open_to_Traffic?,Calculations!$J$5,Calculations!R16+(Calculations!R16*Calculations!O17*Q17))</f>
        <v>1305773.4301943888</v>
      </c>
      <c r="S17" s="45">
        <f t="shared" si="0"/>
        <v>1</v>
      </c>
      <c r="T17" s="30">
        <f t="shared" si="5"/>
        <v>1305.7734301943888</v>
      </c>
      <c r="U17" s="31">
        <f>T17/(1+Real_Discount_Rate)^(Calculations!M17-'Assumed Values'!$C$5)</f>
        <v>541.84955052813643</v>
      </c>
    </row>
    <row r="18" spans="1:21" ht="15.75">
      <c r="D18" s="39" t="s">
        <v>120</v>
      </c>
      <c r="E18" s="122">
        <f>($E$6*Incap_Injry_Rate)/100000000</f>
        <v>0.39830236965409777</v>
      </c>
      <c r="L18" s="106"/>
      <c r="M18" s="107">
        <f t="shared" si="1"/>
        <v>2032</v>
      </c>
      <c r="N18" s="112">
        <f t="shared" si="6"/>
        <v>25640.790667065332</v>
      </c>
      <c r="O18" s="113">
        <f t="shared" si="7"/>
        <v>6.0440839762140097E-2</v>
      </c>
      <c r="P18" s="114">
        <f t="shared" si="8"/>
        <v>0.42551800012064622</v>
      </c>
      <c r="Q18" s="115">
        <f t="shared" si="4"/>
        <v>1</v>
      </c>
      <c r="R18" s="30">
        <f>IF(M18=Year_Open_to_Traffic?,Calculations!$J$5,Calculations!R17+(Calculations!R17*Calculations!O18*Q18))</f>
        <v>1384695.472854428</v>
      </c>
      <c r="S18" s="45">
        <f t="shared" si="0"/>
        <v>1</v>
      </c>
      <c r="T18" s="30">
        <f t="shared" si="5"/>
        <v>1384.6954728544281</v>
      </c>
      <c r="U18" s="31">
        <f>T18/(1+Real_Discount_Rate)^(Calculations!M18-'Assumed Values'!$C$5)</f>
        <v>537.0087779315844</v>
      </c>
    </row>
    <row r="19" spans="1:21" ht="15.75">
      <c r="D19" s="39" t="s">
        <v>121</v>
      </c>
      <c r="E19" s="122">
        <f>($E$6*Nonincap_Injry_Rate)/100000000</f>
        <v>1.954260547511472</v>
      </c>
      <c r="L19" s="106"/>
      <c r="M19" s="11">
        <f t="shared" si="1"/>
        <v>2033</v>
      </c>
      <c r="N19" s="112">
        <f t="shared" si="6"/>
        <v>27190.541587148004</v>
      </c>
      <c r="O19" s="113">
        <f t="shared" si="7"/>
        <v>6.0440839762140097E-2</v>
      </c>
      <c r="P19" s="114">
        <f t="shared" si="8"/>
        <v>0.45123666538184454</v>
      </c>
      <c r="Q19" s="115">
        <f t="shared" si="4"/>
        <v>1</v>
      </c>
      <c r="R19" s="30">
        <f>IF(M19=Year_Open_to_Traffic?,Calculations!$J$5,Calculations!R18+(Calculations!R18*Calculations!O19*Q19))</f>
        <v>1468387.6300485833</v>
      </c>
      <c r="S19" s="45">
        <f t="shared" si="0"/>
        <v>1</v>
      </c>
      <c r="T19" s="30">
        <f t="shared" si="5"/>
        <v>1468.3876300485833</v>
      </c>
      <c r="U19" s="31">
        <f>T19/(1+Real_Discount_Rate)^(Calculations!M19-'Assumed Values'!$C$5)</f>
        <v>532.21125180318677</v>
      </c>
    </row>
    <row r="20" spans="1:21" ht="15.75">
      <c r="D20" s="39" t="s">
        <v>122</v>
      </c>
      <c r="E20" s="122">
        <f>($E$6*Poss_Injry_Rate/100000000)</f>
        <v>3.0803960243032735</v>
      </c>
      <c r="L20" s="106"/>
      <c r="M20" s="107">
        <f t="shared" si="1"/>
        <v>2034</v>
      </c>
      <c r="N20" s="112">
        <f t="shared" si="6"/>
        <v>28833.960754262622</v>
      </c>
      <c r="O20" s="113">
        <f t="shared" si="7"/>
        <v>6.0440839762140097E-2</v>
      </c>
      <c r="P20" s="114">
        <f t="shared" si="8"/>
        <v>0.47850978836899105</v>
      </c>
      <c r="Q20" s="115">
        <f t="shared" si="4"/>
        <v>1</v>
      </c>
      <c r="R20" s="30">
        <f>IF(M20=Year_Open_to_Traffic?,Calculations!$J$5,Calculations!R19+(Calculations!R19*Calculations!O20*Q20))</f>
        <v>1557138.2115050582</v>
      </c>
      <c r="S20" s="45">
        <f t="shared" si="0"/>
        <v>1</v>
      </c>
      <c r="T20" s="30">
        <f t="shared" si="5"/>
        <v>1557.1382115050583</v>
      </c>
      <c r="U20" s="31">
        <f>T20/(1+Real_Discount_Rate)^(Calculations!M20-'Assumed Values'!$C$5)</f>
        <v>527.4565857878797</v>
      </c>
    </row>
    <row r="21" spans="1:21" ht="15.75">
      <c r="D21" s="39" t="s">
        <v>123</v>
      </c>
      <c r="E21" s="122">
        <f>($E$6*Non_Injry_Rate)/100000000</f>
        <v>29.104727831486837</v>
      </c>
      <c r="L21" s="106"/>
      <c r="M21" s="11">
        <f>M20+1</f>
        <v>2035</v>
      </c>
      <c r="N21" s="112">
        <f t="shared" si="6"/>
        <v>30576.709555918846</v>
      </c>
      <c r="O21" s="113">
        <f t="shared" si="7"/>
        <v>6.0440839762140097E-2</v>
      </c>
      <c r="P21" s="114">
        <f>P20*(1+IFERROR(_2025_2040_V_C_Growth,_2018_2045_V_C_Growth))</f>
        <v>0.50743132181241679</v>
      </c>
      <c r="Q21" s="115">
        <f t="shared" si="4"/>
        <v>1</v>
      </c>
      <c r="R21" s="30">
        <f>IF(M21=Year_Open_to_Traffic?,Calculations!$J$5,Calculations!R20+(Calculations!R20*Calculations!O21*Q21))</f>
        <v>1651252.9526341408</v>
      </c>
      <c r="S21" s="45">
        <f t="shared" si="0"/>
        <v>1</v>
      </c>
      <c r="T21" s="30">
        <f t="shared" si="5"/>
        <v>1651.2529526341409</v>
      </c>
      <c r="U21" s="31">
        <f>T21/(1+Real_Discount_Rate)^(Calculations!M21-'Assumed Values'!$C$5)</f>
        <v>522.74439698221533</v>
      </c>
    </row>
    <row r="22" spans="1:21" ht="15.75">
      <c r="D22" s="39" t="s">
        <v>124</v>
      </c>
      <c r="E22" s="122">
        <f>($E$6*Unkn_Injry_Rate)/100000000</f>
        <v>0.96280285038688362</v>
      </c>
      <c r="L22" s="106"/>
      <c r="M22" s="107">
        <f>M21+1</f>
        <v>2036</v>
      </c>
      <c r="N22" s="112">
        <f t="shared" si="6"/>
        <v>32424.791558641635</v>
      </c>
      <c r="O22" s="113">
        <f t="shared" si="7"/>
        <v>6.0440839762140097E-2</v>
      </c>
      <c r="P22" s="114">
        <f t="shared" si="8"/>
        <v>0.53810089702437203</v>
      </c>
      <c r="Q22" s="115">
        <f t="shared" si="4"/>
        <v>1</v>
      </c>
      <c r="R22" s="30">
        <f>IF(M22=Year_Open_to_Traffic?,Calculations!$J$5,Calculations!R21+(Calculations!R21*Calculations!O22*Q22))</f>
        <v>1751056.0677510616</v>
      </c>
      <c r="S22" s="45">
        <f t="shared" si="0"/>
        <v>1</v>
      </c>
      <c r="T22" s="30">
        <f t="shared" si="5"/>
        <v>1751.0560677510616</v>
      </c>
      <c r="U22" s="31">
        <f>T22/(1+Real_Discount_Rate)^(Calculations!M22-'Assumed Values'!$C$5)</f>
        <v>518.07430590352703</v>
      </c>
    </row>
    <row r="23" spans="1:21" ht="15.75">
      <c r="L23" s="106"/>
      <c r="M23" s="11">
        <f t="shared" si="1"/>
        <v>2037</v>
      </c>
      <c r="N23" s="112">
        <f t="shared" si="6"/>
        <v>34384.573189558287</v>
      </c>
      <c r="O23" s="113">
        <f t="shared" si="7"/>
        <v>6.0440839762140097E-2</v>
      </c>
      <c r="P23" s="114">
        <f t="shared" si="8"/>
        <v>0.57062416711728592</v>
      </c>
      <c r="Q23" s="115">
        <f t="shared" si="4"/>
        <v>1</v>
      </c>
      <c r="R23" s="30">
        <f>IF(M23=Year_Open_to_Traffic?,Calculations!$J$5,Calculations!R22+(Calculations!R22*Calculations!O23*Q23))</f>
        <v>1856891.3669565266</v>
      </c>
      <c r="S23" s="45">
        <f t="shared" si="0"/>
        <v>1</v>
      </c>
      <c r="T23" s="30">
        <f t="shared" si="5"/>
        <v>1856.8913669565266</v>
      </c>
      <c r="U23" s="31">
        <f>T23/(1+Real_Discount_Rate)^(Calculations!M23-'Assumed Values'!$C$5)</f>
        <v>513.44593645936823</v>
      </c>
    </row>
    <row r="24" spans="1:21" ht="15.75">
      <c r="L24" s="106"/>
      <c r="M24" s="107">
        <f t="shared" si="1"/>
        <v>2038</v>
      </c>
      <c r="N24" s="112">
        <f t="shared" si="6"/>
        <v>36462.805667997956</v>
      </c>
      <c r="O24" s="113">
        <f t="shared" si="7"/>
        <v>6.0440839762140097E-2</v>
      </c>
      <c r="P24" s="114">
        <f t="shared" si="8"/>
        <v>0.60511317096642647</v>
      </c>
      <c r="Q24" s="115">
        <f t="shared" si="4"/>
        <v>1</v>
      </c>
      <c r="R24" s="30">
        <f>IF(M24=Year_Open_to_Traffic?,Calculations!$J$5,Calculations!R23+(Calculations!R23*Calculations!O24*Q24))</f>
        <v>1969123.4405224475</v>
      </c>
      <c r="S24" s="45">
        <f t="shared" si="0"/>
        <v>1</v>
      </c>
      <c r="T24" s="30">
        <f t="shared" si="5"/>
        <v>1969.1234405224475</v>
      </c>
      <c r="U24" s="31">
        <f>T24/(1+Real_Discount_Rate)^(Calculations!M24-'Assumed Values'!$C$5)</f>
        <v>508.85891591722515</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38666.648262655472</v>
      </c>
      <c r="O25" s="113">
        <f t="shared" si="7"/>
        <v>6.0440839762140097E-2</v>
      </c>
      <c r="P25" s="114">
        <f t="shared" si="8"/>
        <v>0.64168671917076869</v>
      </c>
      <c r="Q25" s="115">
        <f t="shared" si="4"/>
        <v>1</v>
      </c>
      <c r="R25" s="30">
        <f>IF(M25=Year_Open_to_Traffic?,Calculations!$J$5,Calculations!R24+(Calculations!R24*Calculations!O25*Q25))</f>
        <v>2088138.9148629387</v>
      </c>
      <c r="S25" s="45">
        <f t="shared" si="0"/>
        <v>1</v>
      </c>
      <c r="T25" s="30">
        <f t="shared" si="5"/>
        <v>2088.1389148629387</v>
      </c>
      <c r="U25" s="31">
        <f>T25/(1+Real_Discount_Rate)^(Calculations!M25-'Assumed Values'!$C$5)</f>
        <v>504.31287487449947</v>
      </c>
    </row>
    <row r="26" spans="1:21" ht="15.75">
      <c r="A26" s="134"/>
      <c r="B26" s="134"/>
      <c r="D26" s="123">
        <f>Calculations!E17</f>
        <v>0.11175390227704901</v>
      </c>
      <c r="E26" s="123">
        <f>Calculations!E18</f>
        <v>0.39830236965409777</v>
      </c>
      <c r="F26" s="123">
        <f>Calculations!E19</f>
        <v>1.954260547511472</v>
      </c>
      <c r="G26" s="123">
        <f>Calculations!E20</f>
        <v>3.0803960243032735</v>
      </c>
      <c r="H26" s="123">
        <f>Calculations!E21</f>
        <v>29.104727831486837</v>
      </c>
      <c r="I26" s="123">
        <f>Calculations!E22</f>
        <v>0.96280285038688362</v>
      </c>
      <c r="J26" s="135"/>
      <c r="L26" s="106"/>
      <c r="M26" s="107">
        <f t="shared" si="1"/>
        <v>2040</v>
      </c>
      <c r="N26" s="112">
        <f t="shared" si="6"/>
        <v>41003.692954437662</v>
      </c>
      <c r="O26" s="113">
        <f t="shared" si="7"/>
        <v>6.0440839762140097E-2</v>
      </c>
      <c r="P26" s="114">
        <f t="shared" si="8"/>
        <v>0.68047080334166254</v>
      </c>
      <c r="Q26" s="115">
        <f t="shared" si="4"/>
        <v>1</v>
      </c>
      <c r="R26" s="30">
        <f>IF(M26=Year_Open_to_Traffic?,Calculations!$J$5,Calculations!R25+(Calculations!R25*Calculations!O26*Q26))</f>
        <v>2214347.7844172586</v>
      </c>
      <c r="S26" s="45">
        <f t="shared" si="0"/>
        <v>1</v>
      </c>
      <c r="T26" s="30">
        <f t="shared" si="5"/>
        <v>2214.3477844172585</v>
      </c>
      <c r="U26" s="31">
        <f>T26/(1+Real_Discount_Rate)^(Calculations!M26-'Assumed Values'!$C$5)</f>
        <v>499.80744722876005</v>
      </c>
    </row>
    <row r="27" spans="1:21" ht="15.75">
      <c r="A27" s="38" t="s">
        <v>127</v>
      </c>
      <c r="B27" s="39" t="s">
        <v>128</v>
      </c>
      <c r="D27" s="124">
        <f>D$26*'Value of Statistical Life'!D17*Appropriate_Crash_Reduction_Factor</f>
        <v>0</v>
      </c>
      <c r="E27" s="124">
        <f>E$26*'Value of Statistical Life'!E17*Appropriate_Crash_Reduction_Factor</f>
        <v>6.1603436002551021E-3</v>
      </c>
      <c r="F27" s="124">
        <f>F$26*'Value of Statistical Life'!F17*Appropriate_Crash_Reduction_Factor</f>
        <v>7.340495755535216E-2</v>
      </c>
      <c r="G27" s="124">
        <f>G$26*'Value of Statistical Life'!G17*Appropriate_Crash_Reduction_Factor</f>
        <v>0.32487858729718117</v>
      </c>
      <c r="H27" s="124">
        <f>H$26*'Value of Statistical Life'!H17*Appropriate_Crash_Reduction_Factor</f>
        <v>12.119295983214615</v>
      </c>
      <c r="I27" s="124">
        <f>I$26*'Value of Statistical Life'!I17*Appropriate_Crash_Reduction_Factor</f>
        <v>0.18923119782073888</v>
      </c>
      <c r="J27" s="124">
        <f t="shared" ref="J27:J33" si="9">SUM(D27:I27)</f>
        <v>12.712971069488143</v>
      </c>
      <c r="K27" s="69"/>
      <c r="L27" s="106"/>
      <c r="M27" s="11">
        <f t="shared" si="1"/>
        <v>2041</v>
      </c>
      <c r="N27" s="112">
        <f t="shared" si="6"/>
        <v>43481.990589952824</v>
      </c>
      <c r="O27" s="113">
        <f t="shared" si="7"/>
        <v>6.0440839762140097E-2</v>
      </c>
      <c r="P27" s="114">
        <f t="shared" si="8"/>
        <v>0.72159903012925075</v>
      </c>
      <c r="Q27" s="115">
        <f t="shared" si="4"/>
        <v>1</v>
      </c>
      <c r="R27" s="30">
        <f>IF(M27=Year_Open_to_Traffic?,Calculations!$J$5,Calculations!R26+(Calculations!R26*Calculations!O27*Q27))</f>
        <v>2348184.824032872</v>
      </c>
      <c r="S27" s="45">
        <f t="shared" si="0"/>
        <v>1</v>
      </c>
      <c r="T27" s="30">
        <f t="shared" si="5"/>
        <v>2348.1848240328718</v>
      </c>
      <c r="U27" s="31">
        <f>T27/(1+Real_Discount_Rate)^(Calculations!M27-'Assumed Values'!$C$5)</f>
        <v>495.34227014825967</v>
      </c>
    </row>
    <row r="28" spans="1:21" ht="15.75">
      <c r="A28" s="38" t="s">
        <v>129</v>
      </c>
      <c r="B28" s="39" t="s">
        <v>130</v>
      </c>
      <c r="D28" s="124">
        <f>D$26*'Value of Statistical Life'!D18*Appropriate_Crash_Reduction_Factor</f>
        <v>0</v>
      </c>
      <c r="E28" s="124">
        <f>E$26*'Value of Statistical Life'!E18*Appropriate_Crash_Reduction_Factor</f>
        <v>9.9384606427275313E-2</v>
      </c>
      <c r="F28" s="124">
        <f>F$26*'Value of Statistical Life'!F18*Appropriate_Crash_Reduction_Factor</f>
        <v>0.67577059463590816</v>
      </c>
      <c r="G28" s="124">
        <f>G$26*'Value of Statistical Life'!G18*Appropriate_Crash_Reduction_Factor</f>
        <v>0.95571442931226069</v>
      </c>
      <c r="H28" s="124">
        <f>H$26*'Value of Statistical Life'!H18*Appropriate_Crash_Reduction_Factor</f>
        <v>0.95045854442894973</v>
      </c>
      <c r="I28" s="124">
        <f>I$26*'Value of Statistical Life'!I18*Appropriate_Crash_Reduction_Factor</f>
        <v>0.18083892677534161</v>
      </c>
      <c r="J28" s="124">
        <f t="shared" si="9"/>
        <v>2.8621671015797352</v>
      </c>
      <c r="K28" s="69"/>
      <c r="L28" s="106"/>
      <c r="M28" s="107">
        <f t="shared" si="1"/>
        <v>2042</v>
      </c>
      <c r="N28" s="112">
        <f t="shared" si="6"/>
        <v>46110.078615739047</v>
      </c>
      <c r="O28" s="113">
        <f t="shared" si="7"/>
        <v>6.0440839762140097E-2</v>
      </c>
      <c r="P28" s="114">
        <f t="shared" si="8"/>
        <v>0.76521308148180855</v>
      </c>
      <c r="Q28" s="115">
        <f t="shared" si="4"/>
        <v>1</v>
      </c>
      <c r="R28" s="30">
        <f>IF(M28=Year_Open_to_Traffic?,Calculations!$J$5,Calculations!R27+(Calculations!R27*Calculations!O28*Q28))</f>
        <v>2490111.0867141318</v>
      </c>
      <c r="S28" s="45">
        <f t="shared" si="0"/>
        <v>1</v>
      </c>
      <c r="T28" s="30">
        <f t="shared" si="5"/>
        <v>2490.1110867141319</v>
      </c>
      <c r="U28" s="31">
        <f>T28/(1+Real_Discount_Rate)^(Calculations!M28-'Assumed Values'!$C$5)</f>
        <v>490.91698404271528</v>
      </c>
    </row>
    <row r="29" spans="1:21" ht="15.75">
      <c r="A29" s="38" t="s">
        <v>131</v>
      </c>
      <c r="B29" s="39" t="s">
        <v>132</v>
      </c>
      <c r="D29" s="124">
        <f>D$26*'Value of Statistical Life'!D19*Appropriate_Crash_Reduction_Factor</f>
        <v>0</v>
      </c>
      <c r="E29" s="124">
        <f>E$26*'Value of Statistical Life'!E19*Appropriate_Crash_Reduction_Factor</f>
        <v>3.7474676751275443E-2</v>
      </c>
      <c r="F29" s="124">
        <f>F$26*'Value of Statistical Life'!F19*Appropriate_Crash_Reduction_Factor</f>
        <v>9.5838891510510102E-2</v>
      </c>
      <c r="G29" s="124">
        <f>G$26*'Value of Statistical Life'!G19*Appropriate_Crash_Reduction_Factor</f>
        <v>8.8590649460949994E-2</v>
      </c>
      <c r="H29" s="124">
        <f>H$26*'Value of Statistical Life'!H19*Appropriate_Crash_Reduction_Factor</f>
        <v>2.593231249785477E-2</v>
      </c>
      <c r="I29" s="124">
        <f>I$26*'Value of Statistical Life'!I19*Appropriate_Crash_Reduction_Factor</f>
        <v>3.8438940998845941E-2</v>
      </c>
      <c r="J29" s="124">
        <f t="shared" si="9"/>
        <v>0.28627547121943625</v>
      </c>
      <c r="K29" s="69"/>
      <c r="L29" s="106"/>
      <c r="M29" s="11">
        <f t="shared" si="1"/>
        <v>2043</v>
      </c>
      <c r="N29" s="112">
        <f t="shared" si="6"/>
        <v>48897.010488772612</v>
      </c>
      <c r="O29" s="113">
        <f t="shared" si="7"/>
        <v>6.0440839762140097E-2</v>
      </c>
      <c r="P29" s="114">
        <f t="shared" si="8"/>
        <v>0.811463202723544</v>
      </c>
      <c r="Q29" s="115">
        <f t="shared" si="4"/>
        <v>1</v>
      </c>
      <c r="R29" s="30">
        <f>IF(M29=Year_Open_to_Traffic?,Calculations!$J$5,Calculations!R28+(Calculations!R28*Calculations!O29*Q29))</f>
        <v>2640615.4918961492</v>
      </c>
      <c r="S29" s="45">
        <f t="shared" si="0"/>
        <v>1</v>
      </c>
      <c r="T29" s="30">
        <f t="shared" si="5"/>
        <v>2640.6154918961493</v>
      </c>
      <c r="U29" s="31">
        <f>T29/(1+Real_Discount_Rate)^(Calculations!M29-'Assumed Values'!$C$5)</f>
        <v>486.53123253434961</v>
      </c>
    </row>
    <row r="30" spans="1:21" ht="15.75">
      <c r="A30" s="38" t="s">
        <v>133</v>
      </c>
      <c r="B30" s="39" t="s">
        <v>134</v>
      </c>
      <c r="D30" s="124">
        <f>D$26*'Value of Statistical Life'!D20*Appropriate_Crash_Reduction_Factor</f>
        <v>0</v>
      </c>
      <c r="E30" s="124">
        <f>E$26*'Value of Statistical Life'!E20*Appropriate_Crash_Reduction_Factor</f>
        <v>2.5876310898132943E-2</v>
      </c>
      <c r="F30" s="124">
        <f>F$26*'Value of Statistical Life'!F20*Appropriate_Crash_Reduction_Factor</f>
        <v>2.8062204331990984E-2</v>
      </c>
      <c r="G30" s="124">
        <f>G$26*'Value of Statistical Life'!G20*Appropriate_Crash_Reduction_Factor</f>
        <v>1.4845968639129627E-2</v>
      </c>
      <c r="H30" s="124">
        <f>H$26*'Value of Statistical Life'!H20*Appropriate_Crash_Reduction_Factor</f>
        <v>1.0477702019335263E-3</v>
      </c>
      <c r="I30" s="124">
        <f>I$26*'Value of Statistical Life'!I20*Appropriate_Crash_Reduction_Factor</f>
        <v>2.0870195986411284E-2</v>
      </c>
      <c r="J30" s="124">
        <f t="shared" si="9"/>
        <v>9.0702450057598361E-2</v>
      </c>
      <c r="K30" s="69"/>
      <c r="L30" s="106"/>
      <c r="M30" s="11">
        <f t="shared" si="1"/>
        <v>2044</v>
      </c>
      <c r="N30" s="112">
        <f t="shared" si="6"/>
        <v>51852.386864572203</v>
      </c>
      <c r="O30" s="113">
        <f t="shared" si="7"/>
        <v>6.0440839762140097E-2</v>
      </c>
      <c r="P30" s="114">
        <f t="shared" si="8"/>
        <v>0.86050872013223068</v>
      </c>
      <c r="Q30" s="115">
        <f t="shared" si="4"/>
        <v>1</v>
      </c>
      <c r="R30" s="30">
        <f>IF(M30=Year_Open_to_Traffic?,Calculations!$J$5,Calculations!R29+(Calculations!R29*Calculations!O30*Q30))</f>
        <v>2800216.5097152693</v>
      </c>
      <c r="S30" s="45">
        <f t="shared" si="0"/>
        <v>1</v>
      </c>
      <c r="T30" s="30">
        <f t="shared" si="5"/>
        <v>2800.2165097152692</v>
      </c>
      <c r="U30" s="31">
        <f>T30/(1+Real_Discount_Rate)^(Calculations!M30-'Assumed Values'!$C$5)</f>
        <v>482.18466242919141</v>
      </c>
    </row>
    <row r="31" spans="1:21" ht="15.75">
      <c r="A31" s="38" t="s">
        <v>135</v>
      </c>
      <c r="B31" s="39" t="s">
        <v>136</v>
      </c>
      <c r="D31" s="124">
        <f>D$26*'Value of Statistical Life'!D21*Appropriate_Crash_Reduction_Factor</f>
        <v>0</v>
      </c>
      <c r="E31" s="124">
        <f>E$26*'Value of Statistical Life'!E21*Appropriate_Crash_Reduction_Factor</f>
        <v>7.1443496044855523E-3</v>
      </c>
      <c r="F31" s="124">
        <f>F$26*'Value of Statistical Life'!F21*Appropriate_Crash_Reduction_Factor</f>
        <v>5.4523869275570069E-3</v>
      </c>
      <c r="G31" s="124">
        <f>G$26*'Value of Statistical Life'!G21*Appropriate_Crash_Reduction_Factor</f>
        <v>1.9683730595297919E-3</v>
      </c>
      <c r="H31" s="124">
        <f>H$26*'Value of Statistical Life'!H21*Appropriate_Crash_Reduction_Factor</f>
        <v>0</v>
      </c>
      <c r="I31" s="124">
        <f>I$26*'Value of Statistical Life'!I21*Appropriate_Crash_Reduction_Factor</f>
        <v>2.6732221140991822E-3</v>
      </c>
      <c r="J31" s="124">
        <f t="shared" si="9"/>
        <v>1.7238331705671534E-2</v>
      </c>
      <c r="K31" s="69"/>
      <c r="L31" s="106"/>
      <c r="M31" s="11">
        <f t="shared" si="1"/>
        <v>2045</v>
      </c>
      <c r="N31" s="112">
        <f t="shared" si="6"/>
        <v>54986.38867033831</v>
      </c>
      <c r="O31" s="113">
        <f t="shared" si="7"/>
        <v>6.0440839762140097E-2</v>
      </c>
      <c r="P31" s="114">
        <f t="shared" si="8"/>
        <v>0.91251858979966705</v>
      </c>
      <c r="Q31" s="115">
        <f t="shared" si="4"/>
        <v>1</v>
      </c>
      <c r="R31" s="30">
        <f>IF(M31=Year_Open_to_Traffic?,Calculations!$J$5,Calculations!R30+(Calculations!R30*Calculations!O31*Q31))</f>
        <v>2969463.947078269</v>
      </c>
      <c r="S31" s="45">
        <f t="shared" si="0"/>
        <v>0</v>
      </c>
      <c r="T31" s="30">
        <f t="shared" si="5"/>
        <v>0</v>
      </c>
      <c r="U31" s="31">
        <f>T31/(1+Real_Discount_Rate)^(Calculations!M31-'Assumed Values'!$C$5)</f>
        <v>0</v>
      </c>
    </row>
    <row r="32" spans="1:21" ht="15.75">
      <c r="A32" s="38" t="s">
        <v>137</v>
      </c>
      <c r="B32" s="39" t="s">
        <v>138</v>
      </c>
      <c r="D32" s="124">
        <f>D$26*'Value of Statistical Life'!D22*Appropriate_Crash_Reduction_Factor</f>
        <v>0</v>
      </c>
      <c r="E32" s="124">
        <f>E$26*'Value of Statistical Life'!E22*Appropriate_Crash_Reduction_Factor</f>
        <v>3.1957790629196536E-3</v>
      </c>
      <c r="F32" s="124">
        <f>F$26*'Value of Statistical Life'!F22*Appropriate_Crash_Reduction_Factor</f>
        <v>8.8821141884396415E-4</v>
      </c>
      <c r="G32" s="124">
        <f>G$26*'Value of Statistical Life'!G22*Appropriate_Crash_Reduction_Factor</f>
        <v>1.8020316742174149E-4</v>
      </c>
      <c r="H32" s="124">
        <f>H$26*'Value of Statistical Life'!H22*Appropriate_Crash_Reduction_Factor</f>
        <v>3.929138257250723E-4</v>
      </c>
      <c r="I32" s="124">
        <f>I$26*'Value of Statistical Life'!I22*Appropriate_Crash_Reduction_Factor</f>
        <v>1.2087989786607324E-3</v>
      </c>
      <c r="J32" s="124">
        <f t="shared" si="9"/>
        <v>5.8659064535711639E-3</v>
      </c>
      <c r="K32" s="69"/>
      <c r="L32" s="106"/>
      <c r="M32" s="11">
        <f t="shared" si="1"/>
        <v>2046</v>
      </c>
      <c r="N32" s="112">
        <f t="shared" si="6"/>
        <v>58309.812177060987</v>
      </c>
      <c r="O32" s="113">
        <f t="shared" si="7"/>
        <v>6.0440839762140097E-2</v>
      </c>
      <c r="P32" s="114">
        <f t="shared" si="8"/>
        <v>0.96767197966572283</v>
      </c>
      <c r="Q32" s="115">
        <f t="shared" si="4"/>
        <v>1</v>
      </c>
      <c r="R32" s="30">
        <f>IF(M32=Year_Open_to_Traffic?,Calculations!$J$5,Calculations!R31+(Calculations!R31*Calculations!O32*Q32))</f>
        <v>3148940.8416830786</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5.0289256024672054E-2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5.0289256024672054E-2</v>
      </c>
      <c r="K33" s="69"/>
      <c r="L33" s="106"/>
      <c r="M33" s="11">
        <f t="shared" si="1"/>
        <v>2047</v>
      </c>
      <c r="N33" s="112">
        <f t="shared" si="6"/>
        <v>61834.106191415216</v>
      </c>
      <c r="O33" s="113">
        <f t="shared" si="7"/>
        <v>6.0440839762140097E-2</v>
      </c>
      <c r="P33" s="114">
        <f t="shared" si="8"/>
        <v>1.0261588867310116</v>
      </c>
      <c r="Q33" s="115">
        <f t="shared" si="4"/>
        <v>0</v>
      </c>
      <c r="R33" s="30">
        <f>IF(M33=Year_Open_to_Traffic?,Calculations!$J$5,Calculations!R32+(Calculations!R32*Calculations!O33*Q33))</f>
        <v>3148940.8416830786</v>
      </c>
      <c r="S33" s="45">
        <f t="shared" si="0"/>
        <v>0</v>
      </c>
      <c r="T33" s="30">
        <f t="shared" si="5"/>
        <v>0</v>
      </c>
      <c r="U33" s="31">
        <f>T33/(1+Real_Discount_Rate)^(Calculations!M33-'Assumed Values'!$C$5)</f>
        <v>0</v>
      </c>
    </row>
    <row r="34" spans="1:21" ht="15.75">
      <c r="J34" s="125"/>
      <c r="L34" s="106"/>
      <c r="M34" s="11">
        <f t="shared" si="1"/>
        <v>2048</v>
      </c>
      <c r="N34" s="112">
        <f t="shared" si="6"/>
        <v>65571.411495565699</v>
      </c>
      <c r="O34" s="113">
        <f t="shared" si="7"/>
        <v>6.0440839762140097E-2</v>
      </c>
      <c r="P34" s="114">
        <f t="shared" si="8"/>
        <v>1.0881807915744168</v>
      </c>
      <c r="Q34" s="115">
        <f t="shared" si="4"/>
        <v>0</v>
      </c>
      <c r="R34" s="30">
        <f>IF(M34=Year_Open_to_Traffic?,Calculations!$J$5,Calculations!R33+(Calculations!R33*Calculations!O34*Q34))</f>
        <v>3148940.8416830786</v>
      </c>
      <c r="S34" s="45">
        <f t="shared" si="0"/>
        <v>0</v>
      </c>
      <c r="T34" s="30">
        <f t="shared" si="5"/>
        <v>0</v>
      </c>
      <c r="U34" s="31">
        <f>T34/(1+Real_Discount_Rate)^(Calculations!M34-'Assumed Values'!$C$5)</f>
        <v>0</v>
      </c>
    </row>
    <row r="35" spans="1:21" ht="15.75">
      <c r="G35" s="41"/>
      <c r="H35" s="41"/>
      <c r="L35" s="106"/>
      <c r="M35" s="11">
        <f t="shared" si="1"/>
        <v>2049</v>
      </c>
      <c r="N35" s="112">
        <f t="shared" si="6"/>
        <v>69534.602670746535</v>
      </c>
      <c r="O35" s="113">
        <f t="shared" si="7"/>
        <v>6.0440839762140097E-2</v>
      </c>
      <c r="P35" s="114">
        <f t="shared" si="8"/>
        <v>1.153951352430205</v>
      </c>
      <c r="Q35" s="115">
        <f t="shared" si="4"/>
        <v>0</v>
      </c>
      <c r="R35" s="30">
        <f>IF(M35=Year_Open_to_Traffic?,Calculations!$J$5,Calculations!R34+(Calculations!R34*Calculations!O35*Q35))</f>
        <v>3148940.8416830786</v>
      </c>
      <c r="S35" s="45">
        <f t="shared" si="0"/>
        <v>0</v>
      </c>
      <c r="T35" s="30">
        <f t="shared" si="5"/>
        <v>0</v>
      </c>
      <c r="U35" s="31">
        <f>T35/(1+Real_Discount_Rate)^(Calculations!M35-'Assumed Values'!$C$5)</f>
        <v>0</v>
      </c>
    </row>
    <row r="36" spans="1:21" ht="15.75">
      <c r="G36" s="41"/>
      <c r="H36" s="41"/>
      <c r="L36" s="106"/>
      <c r="M36" s="11">
        <f t="shared" si="1"/>
        <v>2050</v>
      </c>
      <c r="N36" s="112">
        <f t="shared" si="6"/>
        <v>73737.332448693211</v>
      </c>
      <c r="O36" s="113">
        <f t="shared" si="7"/>
        <v>6.0440839762140097E-2</v>
      </c>
      <c r="P36" s="114">
        <f t="shared" si="8"/>
        <v>1.2236971412157438</v>
      </c>
      <c r="Q36" s="115">
        <f t="shared" si="4"/>
        <v>0</v>
      </c>
      <c r="R36" s="30">
        <f>IF(M36=Year_Open_to_Traffic?,Calculations!$J$5,Calculations!R35+(Calculations!R35*Calculations!O36*Q36))</f>
        <v>3148940.8416830786</v>
      </c>
      <c r="S36" s="45">
        <f t="shared" si="0"/>
        <v>0</v>
      </c>
      <c r="T36" s="30">
        <f t="shared" si="5"/>
        <v>0</v>
      </c>
      <c r="U36" s="31">
        <f>T36/(1+Real_Discount_Rate)^(Calculations!M36-'Assumed Values'!$C$5)</f>
        <v>0</v>
      </c>
    </row>
    <row r="37" spans="1:21">
      <c r="M37" s="39"/>
      <c r="N37" s="39"/>
      <c r="O37" s="118"/>
      <c r="P37" s="120"/>
      <c r="Q37" s="39"/>
      <c r="R37" s="39"/>
      <c r="S37" s="39"/>
      <c r="T37" s="39"/>
      <c r="U37" s="31">
        <f>SUM(U4:U36)</f>
        <v>10515.970087497151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4"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50</v>
      </c>
      <c r="D3" t="s">
        <v>161</v>
      </c>
      <c r="G3" s="39" t="s">
        <v>162</v>
      </c>
      <c r="H3" s="127" t="s">
        <v>163</v>
      </c>
      <c r="Q3" s="86"/>
      <c r="R3" s="85"/>
      <c r="S3" s="85"/>
      <c r="T3" s="85"/>
      <c r="U3" s="85"/>
      <c r="V3" s="85"/>
      <c r="W3" s="85"/>
      <c r="X3" s="85"/>
    </row>
    <row r="4" spans="3:24">
      <c r="C4" t="s">
        <v>164</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50</v>
      </c>
      <c r="D14" s="60"/>
      <c r="E14" s="60">
        <v>0.58757489087439407</v>
      </c>
      <c r="F14" s="60">
        <v>1.7627246726231824</v>
      </c>
      <c r="G14" s="60">
        <v>8.5198359176787157</v>
      </c>
      <c r="H14" s="60">
        <v>10.870135481176293</v>
      </c>
      <c r="I14" s="60">
        <v>172.45323047163467</v>
      </c>
      <c r="J14" s="60">
        <v>6.1695363541811377</v>
      </c>
      <c r="M14" s="39" t="s">
        <v>50</v>
      </c>
      <c r="N14" s="84">
        <v>2618324.17</v>
      </c>
      <c r="O14" s="84">
        <f>N14*260</f>
        <v>680764284.19999993</v>
      </c>
      <c r="Q14" s="63" t="s">
        <v>50</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50</v>
      </c>
      <c r="D28" s="60"/>
      <c r="E28" s="60">
        <v>2.3625405586197226</v>
      </c>
      <c r="F28" s="60">
        <v>8.4203368627728583</v>
      </c>
      <c r="G28" s="60">
        <v>41.314170794324376</v>
      </c>
      <c r="H28" s="60">
        <v>65.121310269646187</v>
      </c>
      <c r="I28" s="60">
        <v>615.29037061283384</v>
      </c>
      <c r="J28" s="60">
        <v>20.354195581954531</v>
      </c>
      <c r="M28" s="39" t="s">
        <v>50</v>
      </c>
      <c r="N28" s="84">
        <v>6349097.3499999996</v>
      </c>
      <c r="O28" s="84">
        <f>N28*260</f>
        <v>1650765311</v>
      </c>
      <c r="Q28" s="63" t="s">
        <v>50</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23" workbookViewId="0" xr3:uid="{44B22561-5205-5C8A-B808-2C70100D228F}">
      <selection activeCell="E80" sqref="E80"/>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261</v>
      </c>
      <c r="D59" s="92">
        <v>514</v>
      </c>
      <c r="E59" s="93">
        <v>0.8</v>
      </c>
      <c r="F59" s="94">
        <v>30</v>
      </c>
    </row>
    <row r="60" spans="3:6">
      <c r="C60" s="71" t="s">
        <v>262</v>
      </c>
      <c r="D60" s="92">
        <v>515</v>
      </c>
      <c r="E60" s="93">
        <v>0.65</v>
      </c>
      <c r="F60" s="94">
        <v>30</v>
      </c>
    </row>
    <row r="61" spans="3:6">
      <c r="C61" s="72" t="s">
        <v>263</v>
      </c>
      <c r="D61" s="92">
        <v>516</v>
      </c>
      <c r="E61" s="93">
        <v>0.95</v>
      </c>
      <c r="F61" s="94">
        <v>20</v>
      </c>
    </row>
    <row r="62" spans="3:6">
      <c r="C62" s="71" t="s">
        <v>264</v>
      </c>
      <c r="D62" s="92">
        <v>517</v>
      </c>
      <c r="E62" s="95">
        <v>0.28000000000000003</v>
      </c>
      <c r="F62" s="94">
        <v>20</v>
      </c>
    </row>
    <row r="63" spans="3:6">
      <c r="C63" s="71" t="s">
        <v>265</v>
      </c>
      <c r="D63" s="92">
        <v>518</v>
      </c>
      <c r="E63" s="93">
        <v>0.45</v>
      </c>
      <c r="F63" s="94">
        <v>10</v>
      </c>
    </row>
    <row r="64" spans="3:6">
      <c r="C64" s="71" t="s">
        <v>266</v>
      </c>
      <c r="D64" s="92">
        <v>519</v>
      </c>
      <c r="E64" s="93">
        <v>0.25</v>
      </c>
      <c r="F64" s="94">
        <v>10</v>
      </c>
    </row>
    <row r="65" spans="3:6">
      <c r="C65" s="71" t="s">
        <v>267</v>
      </c>
      <c r="D65" s="92">
        <v>520</v>
      </c>
      <c r="E65" s="93">
        <v>0.4</v>
      </c>
      <c r="F65" s="94">
        <v>10</v>
      </c>
    </row>
    <row r="66" spans="3:6">
      <c r="C66" s="71" t="s">
        <v>268</v>
      </c>
      <c r="D66" s="92">
        <v>521</v>
      </c>
      <c r="E66" s="93">
        <v>0.25</v>
      </c>
      <c r="F66" s="94">
        <v>10</v>
      </c>
    </row>
    <row r="67" spans="3:6">
      <c r="C67" s="71" t="s">
        <v>269</v>
      </c>
      <c r="D67" s="92">
        <v>522</v>
      </c>
      <c r="E67" s="93">
        <v>0.4</v>
      </c>
      <c r="F67" s="94">
        <v>10</v>
      </c>
    </row>
    <row r="68" spans="3:6">
      <c r="C68" s="71" t="s">
        <v>270</v>
      </c>
      <c r="D68" s="92">
        <v>523</v>
      </c>
      <c r="E68" s="93">
        <v>0.95</v>
      </c>
      <c r="F68" s="94">
        <v>10</v>
      </c>
    </row>
    <row r="69" spans="3:6">
      <c r="C69" s="71" t="s">
        <v>271</v>
      </c>
      <c r="D69" s="92">
        <v>524</v>
      </c>
      <c r="E69" s="93">
        <v>0.1</v>
      </c>
      <c r="F69" s="94">
        <v>10</v>
      </c>
    </row>
    <row r="70" spans="3:6">
      <c r="C70" s="72" t="s">
        <v>272</v>
      </c>
      <c r="D70" s="92">
        <v>525</v>
      </c>
      <c r="E70" s="93">
        <v>0.25</v>
      </c>
      <c r="F70" s="94">
        <v>10</v>
      </c>
    </row>
    <row r="71" spans="3:6">
      <c r="C71" s="71" t="s">
        <v>273</v>
      </c>
      <c r="D71" s="92">
        <v>526</v>
      </c>
      <c r="E71" s="95">
        <v>0.5</v>
      </c>
      <c r="F71" s="94">
        <v>10</v>
      </c>
    </row>
    <row r="72" spans="3:6">
      <c r="C72" s="71" t="s">
        <v>274</v>
      </c>
      <c r="D72" s="92">
        <v>527</v>
      </c>
      <c r="E72" s="93">
        <v>0.95</v>
      </c>
      <c r="F72" s="94">
        <v>10</v>
      </c>
    </row>
    <row r="73" spans="3:6">
      <c r="C73" s="71" t="s">
        <v>275</v>
      </c>
      <c r="D73" s="92">
        <v>528</v>
      </c>
      <c r="E73" s="93">
        <v>0.2</v>
      </c>
      <c r="F73" s="94">
        <v>10</v>
      </c>
    </row>
    <row r="74" spans="3:6">
      <c r="C74" s="71" t="s">
        <v>276</v>
      </c>
      <c r="D74" s="92">
        <v>529</v>
      </c>
      <c r="E74" s="93">
        <v>0.35</v>
      </c>
      <c r="F74" s="94">
        <v>10</v>
      </c>
    </row>
    <row r="75" spans="3:6">
      <c r="C75" s="71" t="s">
        <v>277</v>
      </c>
      <c r="D75" s="92">
        <v>532</v>
      </c>
      <c r="E75" s="95">
        <v>0.25</v>
      </c>
      <c r="F75" s="94">
        <v>10</v>
      </c>
    </row>
    <row r="76" spans="3:6">
      <c r="C76" s="71" t="s">
        <v>278</v>
      </c>
      <c r="D76" s="92">
        <v>533</v>
      </c>
      <c r="E76" s="93">
        <v>0.15</v>
      </c>
      <c r="F76" s="94">
        <v>5</v>
      </c>
    </row>
    <row r="77" spans="3:6">
      <c r="C77" s="71" t="s">
        <v>279</v>
      </c>
      <c r="D77" s="92">
        <v>535</v>
      </c>
      <c r="E77" s="93">
        <v>0.2</v>
      </c>
      <c r="F77" s="94">
        <v>10</v>
      </c>
    </row>
    <row r="78" spans="3:6">
      <c r="C78" s="71" t="s">
        <v>280</v>
      </c>
      <c r="D78" s="92">
        <v>536</v>
      </c>
      <c r="E78" s="93">
        <v>0.4</v>
      </c>
      <c r="F78" s="94">
        <v>20</v>
      </c>
    </row>
    <row r="79" spans="3:6">
      <c r="C79" s="71" t="s">
        <v>281</v>
      </c>
      <c r="D79" s="92">
        <v>537</v>
      </c>
      <c r="E79" s="93">
        <v>0.4</v>
      </c>
      <c r="F79" s="94">
        <v>20</v>
      </c>
    </row>
    <row r="80" spans="3:6">
      <c r="C80" s="71" t="s">
        <v>70</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DEF6C8-4204-45F6-B9B9-A7F836E75EB6}"/>
</file>

<file path=customXml/itemProps2.xml><?xml version="1.0" encoding="utf-8"?>
<ds:datastoreItem xmlns:ds="http://schemas.openxmlformats.org/officeDocument/2006/customXml" ds:itemID="{E8824B2C-D07F-461F-9B7B-23680BDB1D01}"/>
</file>

<file path=customXml/itemProps3.xml><?xml version="1.0" encoding="utf-8"?>
<ds:datastoreItem xmlns:ds="http://schemas.openxmlformats.org/officeDocument/2006/customXml" ds:itemID="{762CF7B0-588F-4057-9169-34CAFBFDED1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2018-10-31T00:23:48Z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