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OPFS\Project Data\1 - TIP (Transportation Improvement Program)\2019-2022 TIP\Independence Trail\"/>
    </mc:Choice>
  </mc:AlternateContent>
  <bookViews>
    <workbookView xWindow="0" yWindow="0" windowWidth="18735" windowHeight="751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B17" i="7"/>
  <c r="B16" i="7"/>
  <c r="E17" i="7"/>
  <c r="G5" i="7" l="1"/>
  <c r="H5" i="7" s="1"/>
  <c r="H20" i="13"/>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s="1"/>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s="1"/>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s="1"/>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<sst xmlns="http://schemas.openxmlformats.org/spreadsheetml/2006/main" count="273" uniqueCount="139">
  <si>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</si>
  <si>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</si>
  <si>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</si>
  <si>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</si>
  <si>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</si>
  <si>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</si>
  <si>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</si>
  <si>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</si>
  <si>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</si>
  <si>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</si>
  <si>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</si>
  <si>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</si>
  <si>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</si>
  <si>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</si>
  <si>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</si>
  <si>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</si>
  <si>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</si>
  <si>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</si>
  <si>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</si>
  <si>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</si>
  <si>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</si>
  <si>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</si>
  <si>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</si>
  <si>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</si>
  <si>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</si>
  <si>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</si>
  <si>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</si>
  <si>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</si>
  <si>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</si>
  <si>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</si>
  <si>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</si>
  <si>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</si>
  <si>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</si>
  <si>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</si>
  <si>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</si>
  <si>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</si>
  <si>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</si>
  <si>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</si>
  <si>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</si>
  <si>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</si>
  <si>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</si>
  <si>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</si>
  <si>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</si>
  <si>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</si>
  <si>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</si>
  <si>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</si>
  <si>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</si>
  <si>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</si>
  <si>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</si>
  <si>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</si>
  <si>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</si>
  <si>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</si>
  <si>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</si>
  <si>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</si>
  <si>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</si>
  <si>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</si>
  <si>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</si>
  <si>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</si>
  <si>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</si>
  <si>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</si>
  <si>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</si>
  <si>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</si>
  <si>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</si>
  <si>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</si>
  <si>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</si>
  <si>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</si>
  <si>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</si>
  <si>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</si>
  <si>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</si>
  <si>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</si>
  <si>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</si>
  <si>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</si>
  <si>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</si>
  <si>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</si>
  <si>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</si>
  <si>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</si>
  <si>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</si>
  <si>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</si>
  <si>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</si>
  <si>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</si>
  <si>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</si>
  <si>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</si>
  <si>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</si>
  <si>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</si>
  <si>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</si>
  <si>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</si>
  <si>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</si>
  <si>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</si>
  <si>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</si>
  <si>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</si>
  <si>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</si>
  <si>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</si>
  <si>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</si>
  <si>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</si>
  <si>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</si>
  <si>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</si>
  <si>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</si>
  <si>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</si>
  <si>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</si>
  <si>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</si>
  <si>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</si>
  <si>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</si>
  <si>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</si>
  <si>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</si>
  <si>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</si>
  <si>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</si>
  <si>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</si>
  <si>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</si>
  <si>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</si>
  <si>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</si>
  <si>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</si>
  <si>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</si>
  <si>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</si>
  <si>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</si>
  <si>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</si>
  <si>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</si>
  <si>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</si>
  <si>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</si>
  <si>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</si>
  <si>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</si>
  <si>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</si>
  <si>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</si>
  <si>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</si>
  <si>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</si>
  <si>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</si>
  <si>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</si>
  <si>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</si>
  <si>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</si>
  <si>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</si>
  <si>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</si>
  <si>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</si>
  <si>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</si>
  <si>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</si>
  <si>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</si>
  <si>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</si>
  <si>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</si>
  <si>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</si>
  <si>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</si>
  <si>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Independence Trail (Trail Connectivity Phase IV)</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</si>
</sst>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25"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C3:D13"/>
  <sheetViews>
    <sheetView workbookViewId="0">
      <selection activeCell="D8" sqref="D8"/>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2" t="s">
        <v>32</v>
      </c>
      <c r="E6" s="113"/>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2" t="s">
        <v>32</v>
      </c>
      <c r="E6" s="113"/>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2" t="s">
        <v>33</v>
      </c>
      <c r="E8" s="113"/>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1.1953799985300001E-2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5.9190899133699897E-2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L56"/>
  <sheetViews>
    <sheetView tabSelected="1" topLeftCell="A4" zoomScale="115" zoomScaleNormal="115" workbookViewId="0">
      <selection activeCell="E14" sqref="E14"/>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6"/>
      <c r="E6" s="104" t="s">
        <v>131</v>
      </c>
    </row>
    <row r="7" spans="1:5" x14ac:dyDescent="0.25">
      <c r="A7" s="5" t="s">
        <v>54</v>
      </c>
      <c r="B7" s="6">
        <v>166</v>
      </c>
      <c r="D7" s="102"/>
      <c r="E7" s="104" t="s">
        <v>132</v>
      </c>
    </row>
    <row r="8" spans="1:5" x14ac:dyDescent="0.25">
      <c r="A8" s="5" t="s">
        <v>55</v>
      </c>
      <c r="B8" s="6"/>
      <c r="D8" s="107"/>
      <c r="E8" s="104" t="s">
        <v>133</v>
      </c>
    </row>
    <row r="9" spans="1:5" x14ac:dyDescent="0.25">
      <c r="A9" s="5" t="s">
        <v>77</v>
      </c>
      <c r="B9" s="57" t="s">
        <v>69</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2022</v>
      </c>
      <c r="D13" s="27"/>
      <c r="E13" s="50"/>
    </row>
    <row r="14" spans="1:5" x14ac:dyDescent="0.25">
      <c r="A14" s="5" t="s">
        <v>87</v>
      </c>
      <c r="B14" s="6" t="s">
        <v>123</v>
      </c>
      <c r="D14" s="27"/>
      <c r="E14" s="50"/>
    </row>
    <row r="15" spans="1:5" x14ac:dyDescent="0.25">
      <c r="A15" s="5" t="s">
        <v>79</v>
      </c>
      <c r="B15" s="57" t="s">
        <v>83</v>
      </c>
      <c r="D15" s="27"/>
      <c r="E15" s="50"/>
    </row>
    <row r="16" spans="1:5" x14ac:dyDescent="0.25">
      <c r="A16" s="5" t="s">
        <v>86</v>
      </c>
      <c r="B16" s="6">
        <v>40</v>
      </c>
      <c r="D16" s="27"/>
      <c r="E16" s="50"/>
    </row>
    <row r="17" spans="1:12" x14ac:dyDescent="0.25">
      <c r="A17" s="101" t="s">
        <v>99</v>
      </c>
      <c r="B17" s="103">
        <f>VLOOKUP(B14,'Service Life'!C4:D10,2,FALSE)</f>
        <v>12</v>
      </c>
      <c r="D17" s="27"/>
      <c r="E17" s="50"/>
    </row>
    <row r="18" spans="1:12" x14ac:dyDescent="0.25">
      <c r="D18" s="27"/>
      <c r="E18" s="50"/>
    </row>
    <row r="19" spans="1:12" x14ac:dyDescent="0.25">
      <c r="A19" s="62" t="s">
        <v>88</v>
      </c>
      <c r="B19" s="63"/>
      <c r="D19" s="27"/>
      <c r="E19" s="50"/>
    </row>
    <row r="20" spans="1:12" x14ac:dyDescent="0.25">
      <c r="A20" s="5" t="s">
        <v>90</v>
      </c>
      <c r="B20" s="105">
        <v>200</v>
      </c>
      <c r="D20" s="27"/>
      <c r="E20" s="50"/>
      <c r="L20" s="104"/>
    </row>
    <row r="21" spans="1:12" x14ac:dyDescent="0.25">
      <c r="A21" s="5" t="s">
        <v>89</v>
      </c>
      <c r="B21" s="6">
        <v>0.75</v>
      </c>
      <c r="D21" s="27"/>
      <c r="E21" s="50"/>
    </row>
    <row r="22" spans="1:12" x14ac:dyDescent="0.25">
      <c r="D22" s="27"/>
      <c r="E22" s="50"/>
    </row>
    <row r="23" spans="1:12" x14ac:dyDescent="0.25">
      <c r="D23" s="27"/>
      <c r="E23" s="50"/>
    </row>
    <row r="24" spans="1:12" x14ac:dyDescent="0.25">
      <c r="A24" s="64" t="s">
        <v>134</v>
      </c>
      <c r="B24" s="65">
        <v>6731</v>
      </c>
      <c r="D24" s="27"/>
      <c r="E24" s="50"/>
    </row>
    <row r="25" spans="1:12" s="91" customFormat="1" x14ac:dyDescent="0.25">
      <c r="A25" s="64" t="s">
        <v>103</v>
      </c>
      <c r="B25" s="65">
        <v>8782</v>
      </c>
      <c r="D25" s="27"/>
      <c r="E25" s="50"/>
    </row>
    <row r="26" spans="1:12" x14ac:dyDescent="0.25">
      <c r="A26" s="64" t="s">
        <v>135</v>
      </c>
      <c r="B26" s="65">
        <v>11803</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f>Calculations!M38</f>
        <v>202.15555260877969</v>
      </c>
    </row>
    <row r="32" spans="1:12" x14ac:dyDescent="0.25">
      <c r="A32" s="10" t="s">
        <v>117</v>
      </c>
      <c r="B32" s="108">
        <f>Calculations!Q38</f>
        <v>10.358743613273381</v>
      </c>
    </row>
    <row r="34" spans="1:5" x14ac:dyDescent="0.25">
      <c r="A34" s="11" t="s">
        <v>84</v>
      </c>
    </row>
    <row r="35" spans="1:5" x14ac:dyDescent="0.25">
      <c r="A35" s="10" t="s">
        <v>120</v>
      </c>
      <c r="B35" s="108">
        <f>$B$31+$B$32</f>
        <v>212.51429622205308</v>
      </c>
    </row>
    <row r="37" spans="1:5" x14ac:dyDescent="0.25">
      <c r="A37" s="11" t="str">
        <f>"Emissions Reductions (Life of Project = "&amp;'Assumed Values'!C9&amp;")"</f>
        <v>Emissions Reductions (Life of Project = 12)</v>
      </c>
      <c r="E37" s="96"/>
    </row>
    <row r="38" spans="1:5" x14ac:dyDescent="0.25">
      <c r="A38" s="10" t="s">
        <v>136</v>
      </c>
      <c r="B38" s="109">
        <f>Calculations!K38</f>
        <v>0.14054687889718978</v>
      </c>
    </row>
    <row r="39" spans="1:5" x14ac:dyDescent="0.25">
      <c r="A39" s="10" t="s">
        <v>81</v>
      </c>
      <c r="B39" s="109">
        <f>Calculations!O38</f>
        <v>2.8383888959860736E-2</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14:formula1>
            <xm:f>'Emission Factors - NOx'!$C$2:$J$2</xm:f>
          </x14:formula1>
          <xm:sqref>B9</xm:sqref>
        </x14:dataValidation>
        <x14:dataValidation type="list" operator="greaterThanOrEqual" allowBlank="1" showInputMessage="1" showErrorMessage="1" error="Year Must Be 2021 or Later">
          <x14:formula1>
            <xm:f>Calculations!$F$5:$F$37</xm:f>
          </x14:formula1>
          <xm:sqref>B13</xm:sqref>
        </x14:dataValidation>
        <x14:dataValidation type="list" allowBlank="1" showInputMessage="1" showErrorMessage="1">
          <x14:formula1>
            <xm:f>'Emission Factors - NOx'!$L$5:$L$6</xm:f>
          </x14:formula1>
          <xm:sqref>B15</xm:sqref>
        </x14:dataValidation>
        <x14:dataValidation type="list" allowBlank="1" showInputMessage="1" showErrorMessage="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3.8728332019459133E-2</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1.4892279423967869E-2</v>
      </c>
      <c r="F6" s="74">
        <f t="shared" ref="F6:F37" si="1">F5+1</f>
        <v>2019</v>
      </c>
      <c r="G6" s="71">
        <f>$C$5</f>
        <v>3.8728332019459133E-2</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2.1018962698216903E-2</v>
      </c>
      <c r="F7" s="12">
        <f t="shared" si="1"/>
        <v>2020</v>
      </c>
      <c r="G7" s="71">
        <f t="shared" ref="G7:G12" si="5">$C$5</f>
        <v>3.8728332019459133E-2</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3.8728332019459133E-2</v>
      </c>
      <c r="H8" s="73">
        <f>IF(AND(F8&gt;=Year_Open_to_Traffic?,F8&lt;Year_Open_to_Traffic?+'Assumed Values'!C$9),1,0)</f>
        <v>0</v>
      </c>
      <c r="I8" s="77">
        <f>IF(F8=Year_Open_to_Traffic?,Calculations!$C$12,(I7+I7*G8))</f>
        <v>0</v>
      </c>
      <c r="J8" s="77">
        <f>I8*'Assumed Values'!$C$8</f>
        <v>0</v>
      </c>
      <c r="K8" s="93">
        <f t="shared" si="2"/>
        <v>0</v>
      </c>
      <c r="L8" s="79">
        <f>(K8*H8)*'Assumed Values'!$C$6</f>
        <v>0</v>
      </c>
      <c r="M8" s="80">
        <f t="shared" si="3"/>
        <v>0</v>
      </c>
      <c r="N8" s="77">
        <f>I8*'Assumed Values'!$C$7</f>
        <v>0</v>
      </c>
      <c r="O8" s="93">
        <f t="shared" si="4"/>
        <v>0</v>
      </c>
      <c r="P8" s="79">
        <f>(O8*H8)*'Assumed Values'!$C$5</f>
        <v>0</v>
      </c>
      <c r="Q8" s="80">
        <f t="shared" si="0"/>
        <v>0</v>
      </c>
    </row>
    <row r="9" spans="2:19" x14ac:dyDescent="0.25">
      <c r="B9" s="27"/>
      <c r="C9" s="82"/>
      <c r="F9" s="12">
        <f t="shared" si="1"/>
        <v>2022</v>
      </c>
      <c r="G9" s="71">
        <f t="shared" si="5"/>
        <v>3.8728332019459133E-2</v>
      </c>
      <c r="H9" s="73">
        <f>IF(AND(F9&gt;=Year_Open_to_Traffic?,F9&lt;Year_Open_to_Traffic?+'Assumed Values'!C$9),1,0)</f>
        <v>1</v>
      </c>
      <c r="I9" s="77">
        <f>IF(F9=Year_Open_to_Traffic?,Calculations!$C$12,(I8+I8*G9))</f>
        <v>215.82733812949641</v>
      </c>
      <c r="J9" s="77">
        <f>I9*'Assumed Values'!$C$8</f>
        <v>12.775014201517964</v>
      </c>
      <c r="K9" s="93">
        <f t="shared" si="2"/>
        <v>3.661334075991938E-3</v>
      </c>
      <c r="L9" s="79">
        <f>(K9*H9)*'Assumed Values'!$C$6</f>
        <v>27.489296242547471</v>
      </c>
      <c r="M9" s="80">
        <f t="shared" si="3"/>
        <v>20.971452485995492</v>
      </c>
      <c r="N9" s="77">
        <f>I9*'Assumed Values'!$C$7</f>
        <v>2.5799568313597123</v>
      </c>
      <c r="O9" s="93">
        <f t="shared" si="4"/>
        <v>7.3941805519515827E-4</v>
      </c>
      <c r="P9" s="79">
        <f>(O9*H9)*'Assumed Values'!$C$5</f>
        <v>1.4085913951467766</v>
      </c>
      <c r="Q9" s="80">
        <f t="shared" si="0"/>
        <v>1.0746076310888195</v>
      </c>
    </row>
    <row r="10" spans="2:19" x14ac:dyDescent="0.25">
      <c r="B10" s="68" t="s">
        <v>94</v>
      </c>
      <c r="F10" s="74">
        <f t="shared" si="1"/>
        <v>2023</v>
      </c>
      <c r="G10" s="71">
        <f t="shared" si="5"/>
        <v>3.8728332019459133E-2</v>
      </c>
      <c r="H10" s="73">
        <f>IF(AND(F10&gt;=Year_Open_to_Traffic?,F10&lt;Year_Open_to_Traffic?+'Assumed Values'!C$9),1,0)</f>
        <v>1</v>
      </c>
      <c r="I10" s="77">
        <f>IF(F10=Year_Open_to_Traffic?,Calculations!$C$12,(I9+I9*G10))</f>
        <v>224.18597093945161</v>
      </c>
      <c r="J10" s="77">
        <f>I10*'Assumed Values'!$C$8</f>
        <v>13.269769193067656</v>
      </c>
      <c r="K10" s="93">
        <f t="shared" si="2"/>
        <v>3.8031314377211132E-3</v>
      </c>
      <c r="L10" s="79">
        <f>(K10*H10)*'Assumed Values'!$C$6</f>
        <v>28.553910834410118</v>
      </c>
      <c r="M10" s="80">
        <f t="shared" si="3"/>
        <v>20.358543795143394</v>
      </c>
      <c r="N10" s="77">
        <f>I10*'Assumed Values'!$C$7</f>
        <v>2.6798742561204829</v>
      </c>
      <c r="O10" s="93">
        <f t="shared" si="4"/>
        <v>7.6805448313793905E-4</v>
      </c>
      <c r="P10" s="79">
        <f>(O10*H10)*'Assumed Values'!$C$5</f>
        <v>1.463143790377774</v>
      </c>
      <c r="Q10" s="80">
        <f t="shared" si="0"/>
        <v>1.0432013011367023</v>
      </c>
    </row>
    <row r="11" spans="2:19" x14ac:dyDescent="0.25">
      <c r="B11" s="69" t="s">
        <v>96</v>
      </c>
      <c r="C11" s="61">
        <f>'Inputs &amp; Outputs'!B20/'Assumed Values'!$C$13</f>
        <v>143.88489208633095</v>
      </c>
      <c r="F11" s="12">
        <f t="shared" si="1"/>
        <v>2024</v>
      </c>
      <c r="G11" s="71">
        <f t="shared" si="5"/>
        <v>3.8728332019459133E-2</v>
      </c>
      <c r="H11" s="73">
        <f>IF(AND(F11&gt;=Year_Open_to_Traffic?,F11&lt;Year_Open_to_Traffic?+'Assumed Values'!C$9),1,0)</f>
        <v>1</v>
      </c>
      <c r="I11" s="77">
        <f>IF(F11=Year_Open_to_Traffic?,Calculations!$C$12,(I10+I10*G11))</f>
        <v>232.86831965609952</v>
      </c>
      <c r="J11" s="77">
        <f>I11*'Assumed Values'!$C$8</f>
        <v>13.783685220198372</v>
      </c>
      <c r="K11" s="93">
        <f t="shared" si="2"/>
        <v>3.9504203747548197E-3</v>
      </c>
      <c r="L11" s="79">
        <f>(K11*H11)*'Assumed Values'!$C$6</f>
        <v>29.659756173659186</v>
      </c>
      <c r="M11" s="80">
        <f t="shared" si="3"/>
        <v>19.763547886611597</v>
      </c>
      <c r="N11" s="77">
        <f>I11*'Assumed Values'!$C$7</f>
        <v>2.7836613160819184</v>
      </c>
      <c r="O11" s="93">
        <f t="shared" si="4"/>
        <v>7.9779995216993933E-4</v>
      </c>
      <c r="P11" s="79">
        <f>(O11*H11)*'Assumed Values'!$C$5</f>
        <v>1.5198089088837343</v>
      </c>
      <c r="Q11" s="80">
        <f t="shared" si="0"/>
        <v>1.0127128481217349</v>
      </c>
    </row>
    <row r="12" spans="2:19" x14ac:dyDescent="0.25">
      <c r="B12" s="69" t="s">
        <v>106</v>
      </c>
      <c r="C12" s="61">
        <f>(C11*'Inputs &amp; Outputs'!$B$21*2)</f>
        <v>215.82733812949641</v>
      </c>
      <c r="F12" s="74">
        <f t="shared" si="1"/>
        <v>2025</v>
      </c>
      <c r="G12" s="71">
        <f t="shared" si="5"/>
        <v>3.8728332019459133E-2</v>
      </c>
      <c r="H12" s="73">
        <f>IF(AND(F12&gt;=Year_Open_to_Traffic?,F12&lt;Year_Open_to_Traffic?+'Assumed Values'!C$9),1,0)</f>
        <v>1</v>
      </c>
      <c r="I12" s="77">
        <f>IF(F12=Year_Open_to_Traffic?,Calculations!$C$12,(I11+I11*G12))</f>
        <v>241.88692125655447</v>
      </c>
      <c r="J12" s="77">
        <f>I12*'Assumed Values'!$C$8</f>
        <v>14.317504357857926</v>
      </c>
      <c r="K12" s="93">
        <f t="shared" si="2"/>
        <v>4.1034135666447608E-3</v>
      </c>
      <c r="L12" s="79">
        <f>(K12*H12)*'Assumed Values'!$C$6</f>
        <v>30.808429058368866</v>
      </c>
      <c r="M12" s="80">
        <f t="shared" si="3"/>
        <v>19.185941243968948</v>
      </c>
      <c r="N12" s="77">
        <f>I12*'Assumed Values'!$C$7</f>
        <v>2.8914678757608634</v>
      </c>
      <c r="O12" s="93">
        <f t="shared" si="4"/>
        <v>8.2869741360268529E-4</v>
      </c>
      <c r="P12" s="79">
        <f>(O12*H12)*'Assumed Values'!$C$5</f>
        <v>1.5786685729131156</v>
      </c>
      <c r="Q12" s="80">
        <f t="shared" si="0"/>
        <v>0.98311544630295855</v>
      </c>
    </row>
    <row r="13" spans="2:19" x14ac:dyDescent="0.25">
      <c r="B13" s="83"/>
      <c r="C13" s="60"/>
      <c r="F13" s="12">
        <f t="shared" si="1"/>
        <v>2026</v>
      </c>
      <c r="G13" s="75">
        <f>$C$6</f>
        <v>1.4892279423967869E-2</v>
      </c>
      <c r="H13" s="73">
        <f>IF(AND(F13&gt;=Year_Open_to_Traffic?,F13&lt;Year_Open_to_Traffic?+'Assumed Values'!C$9),1,0)</f>
        <v>1</v>
      </c>
      <c r="I13" s="77">
        <f>IF(F13=Year_Open_to_Traffic?,Calculations!$C$12,(I12+I12*G13))</f>
        <v>245.48916887691038</v>
      </c>
      <c r="J13" s="77">
        <f>I13*'Assumed Values'!$C$8</f>
        <v>14.530724633409022</v>
      </c>
      <c r="K13" s="93">
        <f t="shared" si="2"/>
        <v>4.1645227480713344E-3</v>
      </c>
      <c r="L13" s="79">
        <f>(K13*H13)*'Assumed Values'!$C$6</f>
        <v>31.267236792519579</v>
      </c>
      <c r="M13" s="80">
        <f t="shared" si="3"/>
        <v>18.197816487837343</v>
      </c>
      <c r="N13" s="77">
        <f>I13*'Assumed Values'!$C$7</f>
        <v>2.9345284233121207</v>
      </c>
      <c r="O13" s="93">
        <f t="shared" si="4"/>
        <v>8.4103860704397586E-4</v>
      </c>
      <c r="P13" s="79">
        <f>(O13*H13)*'Assumed Values'!$C$5</f>
        <v>1.6021785464187741</v>
      </c>
      <c r="Q13" s="80">
        <f t="shared" si="0"/>
        <v>0.93248250115450559</v>
      </c>
    </row>
    <row r="14" spans="2:19" x14ac:dyDescent="0.25">
      <c r="F14" s="74">
        <f t="shared" si="1"/>
        <v>2027</v>
      </c>
      <c r="G14" s="75">
        <f t="shared" ref="G14:G37" si="6">$C$6</f>
        <v>1.4892279423967869E-2</v>
      </c>
      <c r="H14" s="73">
        <f>IF(AND(F14&gt;=Year_Open_to_Traffic?,F14&lt;Year_Open_to_Traffic?+'Assumed Values'!C$9),1,0)</f>
        <v>1</v>
      </c>
      <c r="I14" s="77">
        <f>IF(F14=Year_Open_to_Traffic?,Calculations!$C$12,(I13+I13*G14))</f>
        <v>249.14506217538298</v>
      </c>
      <c r="J14" s="77">
        <f>I14*'Assumed Values'!$C$8</f>
        <v>14.747120244882483</v>
      </c>
      <c r="K14" s="93">
        <f t="shared" si="2"/>
        <v>4.2265419845030835E-3</v>
      </c>
      <c r="L14" s="79">
        <f>(K14*H14)*'Assumed Values'!$C$6</f>
        <v>31.732877219649151</v>
      </c>
      <c r="M14" s="80">
        <f t="shared" si="3"/>
        <v>17.260582669047015</v>
      </c>
      <c r="N14" s="77">
        <f>I14*'Assumed Values'!$C$7</f>
        <v>2.9782302405696606</v>
      </c>
      <c r="O14" s="93">
        <f t="shared" si="4"/>
        <v>8.5356358898641953E-4</v>
      </c>
      <c r="P14" s="79">
        <f>(O14*H14)*'Assumed Values'!$C$5</f>
        <v>1.6260386370191293</v>
      </c>
      <c r="Q14" s="80">
        <f t="shared" si="0"/>
        <v>0.88445728142024194</v>
      </c>
    </row>
    <row r="15" spans="2:19" x14ac:dyDescent="0.25">
      <c r="F15" s="12">
        <f t="shared" si="1"/>
        <v>2028</v>
      </c>
      <c r="G15" s="75">
        <f t="shared" si="6"/>
        <v>1.4892279423967869E-2</v>
      </c>
      <c r="H15" s="73">
        <f>IF(AND(F15&gt;=Year_Open_to_Traffic?,F15&lt;Year_Open_to_Traffic?+'Assumed Values'!C$9),1,0)</f>
        <v>1</v>
      </c>
      <c r="I15" s="77">
        <f>IF(F15=Year_Open_to_Traffic?,Calculations!$C$12,(I14+I14*G15))</f>
        <v>252.85540005840062</v>
      </c>
      <c r="J15" s="77">
        <f>I15*'Assumed Values'!$C$8</f>
        <v>14.966738480268125</v>
      </c>
      <c r="K15" s="93">
        <f t="shared" si="2"/>
        <v>4.2894848287334348E-3</v>
      </c>
      <c r="L15" s="79">
        <f>(K15*H15)*'Assumed Values'!$C$6</f>
        <v>32.205452094130628</v>
      </c>
      <c r="M15" s="80">
        <f t="shared" si="3"/>
        <v>16.371618774929871</v>
      </c>
      <c r="N15" s="77">
        <f>I15*'Assumed Values'!$C$7</f>
        <v>3.0225828775011352</v>
      </c>
      <c r="O15" s="93">
        <f t="shared" si="4"/>
        <v>8.6627509645973008E-4</v>
      </c>
      <c r="P15" s="79">
        <f>(O15*H15)*'Assumed Values'!$C$5</f>
        <v>1.6502540587557859</v>
      </c>
      <c r="Q15" s="80">
        <f t="shared" si="0"/>
        <v>0.83890548261094877</v>
      </c>
    </row>
    <row r="16" spans="2:19" x14ac:dyDescent="0.25">
      <c r="B16" s="68" t="s">
        <v>114</v>
      </c>
      <c r="C16" s="76">
        <f>$C$12*'Assumed Values'!C$8</f>
        <v>12.775014201517964</v>
      </c>
      <c r="F16" s="74">
        <f t="shared" si="1"/>
        <v>2029</v>
      </c>
      <c r="G16" s="75">
        <f t="shared" si="6"/>
        <v>1.4892279423967869E-2</v>
      </c>
      <c r="H16" s="73">
        <f>IF(AND(F16&gt;=Year_Open_to_Traffic?,F16&lt;Year_Open_to_Traffic?+'Assumed Values'!C$9),1,0)</f>
        <v>1</v>
      </c>
      <c r="I16" s="77">
        <f>IF(F16=Year_Open_to_Traffic?,Calculations!$C$12,(I15+I15*G16))</f>
        <v>256.62099332992949</v>
      </c>
      <c r="J16" s="77">
        <f>I16*'Assumed Values'!$C$8</f>
        <v>15.189627331781731</v>
      </c>
      <c r="K16" s="93">
        <f t="shared" si="2"/>
        <v>4.3533650353878043E-3</v>
      </c>
      <c r="L16" s="79">
        <f>(K16*H16)*'Assumed Values'!$C$6</f>
        <v>32.685064685691636</v>
      </c>
      <c r="M16" s="80">
        <f t="shared" si="3"/>
        <v>15.528438781634396</v>
      </c>
      <c r="N16" s="77">
        <f>I16*'Assumed Values'!$C$7</f>
        <v>3.0675960262949826</v>
      </c>
      <c r="O16" s="93">
        <f t="shared" si="4"/>
        <v>8.7917590725423306E-4</v>
      </c>
      <c r="P16" s="79">
        <f>(O16*H16)*'Assumed Values'!$C$5</f>
        <v>1.674830103319314</v>
      </c>
      <c r="Q16" s="80">
        <f t="shared" si="0"/>
        <v>0.79569971726008359</v>
      </c>
    </row>
    <row r="17" spans="2:17" x14ac:dyDescent="0.25">
      <c r="F17" s="12">
        <f t="shared" si="1"/>
        <v>2030</v>
      </c>
      <c r="G17" s="75">
        <f t="shared" si="6"/>
        <v>1.4892279423967869E-2</v>
      </c>
      <c r="H17" s="73">
        <f>IF(AND(F17&gt;=Year_Open_to_Traffic?,F17&lt;Year_Open_to_Traffic?+'Assumed Values'!C$9),1,0)</f>
        <v>1</v>
      </c>
      <c r="I17" s="77">
        <f>IF(F17=Year_Open_to_Traffic?,Calculations!$C$12,(I16+I16*G17))</f>
        <v>260.44266486865502</v>
      </c>
      <c r="J17" s="77">
        <f>I17*'Assumed Values'!$C$8</f>
        <v>15.415835506352565</v>
      </c>
      <c r="K17" s="93">
        <f t="shared" si="2"/>
        <v>4.4181965639293313E-3</v>
      </c>
      <c r="L17" s="79">
        <f>(K17*H17)*'Assumed Values'!$C$6</f>
        <v>33.171819801981421</v>
      </c>
      <c r="M17" s="80">
        <f t="shared" si="3"/>
        <v>14.72868470185839</v>
      </c>
      <c r="N17" s="77">
        <f>I17*'Assumed Values'!$C$7</f>
        <v>3.1132795234784214</v>
      </c>
      <c r="O17" s="93">
        <f t="shared" si="4"/>
        <v>8.9226884052788372E-4</v>
      </c>
      <c r="P17" s="79">
        <f>(O17*H17)*'Assumed Values'!$C$5</f>
        <v>1.6997721412056186</v>
      </c>
      <c r="Q17" s="80">
        <f t="shared" si="0"/>
        <v>0.75471915867952644</v>
      </c>
    </row>
    <row r="18" spans="2:17" x14ac:dyDescent="0.25">
      <c r="B18" s="68" t="s">
        <v>115</v>
      </c>
      <c r="C18" s="76">
        <f>$C$12*'Assumed Values'!C$7</f>
        <v>2.5799568313597123</v>
      </c>
      <c r="F18" s="74">
        <f t="shared" si="1"/>
        <v>2031</v>
      </c>
      <c r="G18" s="75">
        <f t="shared" si="6"/>
        <v>1.4892279423967869E-2</v>
      </c>
      <c r="H18" s="73">
        <f>IF(AND(F18&gt;=Year_Open_to_Traffic?,F18&lt;Year_Open_to_Traffic?+'Assumed Values'!C$9),1,0)</f>
        <v>1</v>
      </c>
      <c r="I18" s="77">
        <f>IF(F18=Year_Open_to_Traffic?,Calculations!$C$12,(I17+I17*G18))</f>
        <v>264.32124980780185</v>
      </c>
      <c r="J18" s="77">
        <f>I18*'Assumed Values'!$C$8</f>
        <v>15.645412436267092</v>
      </c>
      <c r="K18" s="93">
        <f t="shared" si="2"/>
        <v>4.4839935817093815E-3</v>
      </c>
      <c r="L18" s="79">
        <f>(K18*H18)*'Assumed Values'!$C$6</f>
        <v>33.665823811474034</v>
      </c>
      <c r="M18" s="80">
        <f t="shared" si="3"/>
        <v>13.970119990641106</v>
      </c>
      <c r="N18" s="77">
        <f>I18*'Assumed Values'!$C$7</f>
        <v>3.1596433520669795</v>
      </c>
      <c r="O18" s="93">
        <f t="shared" si="4"/>
        <v>9.0555675742232469E-4</v>
      </c>
      <c r="P18" s="79">
        <f>(O18*H18)*'Assumed Values'!$C$5</f>
        <v>1.7250856228895286</v>
      </c>
      <c r="Q18" s="80">
        <f t="shared" si="0"/>
        <v>0.71584920306280719</v>
      </c>
    </row>
    <row r="19" spans="2:17" x14ac:dyDescent="0.25">
      <c r="F19" s="12">
        <f t="shared" si="1"/>
        <v>2032</v>
      </c>
      <c r="G19" s="75">
        <f t="shared" si="6"/>
        <v>1.4892279423967869E-2</v>
      </c>
      <c r="H19" s="73">
        <f>IF(AND(F19&gt;=Year_Open_to_Traffic?,F19&lt;Year_Open_to_Traffic?+'Assumed Values'!C$9),1,0)</f>
        <v>1</v>
      </c>
      <c r="I19" s="77">
        <f>IF(F19=Year_Open_to_Traffic?,Calculations!$C$12,(I18+I18*G19))</f>
        <v>268.25759571763206</v>
      </c>
      <c r="J19" s="77">
        <f>I19*'Assumed Values'!$C$8</f>
        <v>15.878408289971205</v>
      </c>
      <c r="K19" s="93">
        <f t="shared" si="2"/>
        <v>4.5507704670634773E-3</v>
      </c>
      <c r="L19" s="79">
        <f>(K19*H19)*'Assumed Values'!$C$6</f>
        <v>34.167184666712586</v>
      </c>
      <c r="M19" s="80">
        <f t="shared" si="3"/>
        <v>13.250623290773923</v>
      </c>
      <c r="N19" s="77">
        <f>I19*'Assumed Values'!$C$7</f>
        <v>3.2066976437460437</v>
      </c>
      <c r="O19" s="93">
        <f t="shared" si="4"/>
        <v>9.190425616881204E-4</v>
      </c>
      <c r="P19" s="79">
        <f>(O19*H19)*'Assumed Values'!$C$5</f>
        <v>1.7507760800158694</v>
      </c>
      <c r="Q19" s="80">
        <f t="shared" si="0"/>
        <v>0.67898114899088169</v>
      </c>
    </row>
    <row r="20" spans="2:17" x14ac:dyDescent="0.25">
      <c r="F20" s="74">
        <f t="shared" si="1"/>
        <v>2033</v>
      </c>
      <c r="G20" s="75">
        <f t="shared" si="6"/>
        <v>1.4892279423967869E-2</v>
      </c>
      <c r="H20" s="73">
        <f>IF(AND(F20&gt;=Year_Open_to_Traffic?,F20&lt;Year_Open_to_Traffic?+'Assumed Values'!C$9),1,0)</f>
        <v>1</v>
      </c>
      <c r="I20" s="77">
        <f>IF(F20=Year_Open_to_Traffic?,Calculations!$C$12,(I19+I19*G20))</f>
        <v>272.25256279066082</v>
      </c>
      <c r="J20" s="77">
        <f>I20*'Assumed Values'!$C$8</f>
        <v>16.114873983033302</v>
      </c>
      <c r="K20" s="93">
        <f t="shared" si="2"/>
        <v>4.6185418124533263E-3</v>
      </c>
      <c r="L20" s="79">
        <f>(K20*H20)*'Assumed Values'!$C$6</f>
        <v>34.676011927899573</v>
      </c>
      <c r="M20" s="80">
        <f t="shared" si="3"/>
        <v>12.568182500338187</v>
      </c>
      <c r="N20" s="77">
        <f>I20*'Assumed Values'!$C$7</f>
        <v>3.2544526810848886</v>
      </c>
      <c r="O20" s="93">
        <f t="shared" si="4"/>
        <v>9.3272920031929889E-4</v>
      </c>
      <c r="P20" s="79">
        <f>(O20*H20)*'Assumed Values'!$C$5</f>
        <v>1.7768491266082644</v>
      </c>
      <c r="Q20" s="80">
        <f t="shared" si="0"/>
        <v>0.64401189344416865</v>
      </c>
    </row>
    <row r="21" spans="2:17" x14ac:dyDescent="0.25">
      <c r="F21" s="12">
        <f t="shared" si="1"/>
        <v>2034</v>
      </c>
      <c r="G21" s="75">
        <f t="shared" si="6"/>
        <v>1.4892279423967869E-2</v>
      </c>
      <c r="H21" s="73">
        <f>IF(AND(F21&gt;=Year_Open_to_Traffic?,F21&lt;Year_Open_to_Traffic?+'Assumed Values'!C$9),1,0)</f>
        <v>0</v>
      </c>
      <c r="I21" s="77">
        <f>IF(F21=Year_Open_to_Traffic?,Calculations!$C$12,(I20+I20*G21))</f>
        <v>276.30702402963072</v>
      </c>
      <c r="J21" s="77">
        <f>I21*'Assumed Values'!$C$8</f>
        <v>16.354861189270665</v>
      </c>
      <c r="K21" s="93">
        <f t="shared" si="2"/>
        <v>4.6873224276556599E-3</v>
      </c>
      <c r="L21" s="79">
        <f>(K21*H21)*'Assumed Values'!$C$6</f>
        <v>0</v>
      </c>
      <c r="M21" s="80">
        <f t="shared" si="3"/>
        <v>0</v>
      </c>
      <c r="N21" s="77">
        <f>I21*'Assumed Values'!$C$7</f>
        <v>3.3029188997836867</v>
      </c>
      <c r="O21" s="93">
        <f t="shared" si="4"/>
        <v>9.4661966419734816E-4</v>
      </c>
      <c r="P21" s="79">
        <f>(O21*H21)*'Assumed Values'!$C$5</f>
        <v>0</v>
      </c>
      <c r="Q21" s="80">
        <f t="shared" si="0"/>
        <v>0</v>
      </c>
    </row>
    <row r="22" spans="2:17" x14ac:dyDescent="0.25">
      <c r="F22" s="74">
        <f t="shared" si="1"/>
        <v>2035</v>
      </c>
      <c r="G22" s="75">
        <f t="shared" si="6"/>
        <v>1.4892279423967869E-2</v>
      </c>
      <c r="H22" s="73">
        <f>IF(AND(F22&gt;=Year_Open_to_Traffic?,F22&lt;Year_Open_to_Traffic?+'Assumed Values'!C$9),1,0)</f>
        <v>0</v>
      </c>
      <c r="I22" s="77">
        <f>IF(F22=Year_Open_to_Traffic?,Calculations!$C$12,(I21+I21*G22))</f>
        <v>280.42186543828501</v>
      </c>
      <c r="J22" s="77">
        <f>I22*'Assumed Values'!$C$8</f>
        <v>16.598422352041492</v>
      </c>
      <c r="K22" s="93">
        <f t="shared" si="2"/>
        <v>4.7571273429985409E-3</v>
      </c>
      <c r="L22" s="79">
        <f>(K22*H22)*'Assumed Values'!$C$6</f>
        <v>0</v>
      </c>
      <c r="M22" s="80">
        <f t="shared" si="3"/>
        <v>0</v>
      </c>
      <c r="N22" s="77">
        <f>I22*'Assumed Values'!$C$7</f>
        <v>3.3521068909539702</v>
      </c>
      <c r="O22" s="93">
        <f t="shared" si="4"/>
        <v>9.6071698874479776E-4</v>
      </c>
      <c r="P22" s="79">
        <f>(O22*H22)*'Assumed Values'!$C$5</f>
        <v>0</v>
      </c>
      <c r="Q22" s="80">
        <f t="shared" si="0"/>
        <v>0</v>
      </c>
    </row>
    <row r="23" spans="2:17" x14ac:dyDescent="0.25">
      <c r="F23" s="12">
        <f t="shared" si="1"/>
        <v>2036</v>
      </c>
      <c r="G23" s="75">
        <f t="shared" si="6"/>
        <v>1.4892279423967869E-2</v>
      </c>
      <c r="H23" s="73">
        <f>IF(AND(F23&gt;=Year_Open_to_Traffic?,F23&lt;Year_Open_to_Traffic?+'Assumed Values'!C$9),1,0)</f>
        <v>0</v>
      </c>
      <c r="I23" s="77">
        <f>IF(F23=Year_Open_to_Traffic?,Calculations!$C$12,(I22+I22*G23))</f>
        <v>284.59798621498226</v>
      </c>
      <c r="J23" s="77">
        <f>I23*'Assumed Values'!$C$8</f>
        <v>16.84561069570513</v>
      </c>
      <c r="K23" s="93">
        <f t="shared" si="2"/>
        <v>4.8279718126458728E-3</v>
      </c>
      <c r="L23" s="79">
        <f>(K23*H23)*'Assumed Values'!$C$6</f>
        <v>0</v>
      </c>
      <c r="M23" s="80">
        <f t="shared" si="3"/>
        <v>0</v>
      </c>
      <c r="N23" s="77">
        <f>I23*'Assumed Values'!$C$7</f>
        <v>3.4020274034330646</v>
      </c>
      <c r="O23" s="93">
        <f t="shared" si="4"/>
        <v>9.7502425458853819E-4</v>
      </c>
      <c r="P23" s="79">
        <f>(O23*H23)*'Assumed Values'!$C$5</f>
        <v>0</v>
      </c>
      <c r="Q23" s="80">
        <f t="shared" si="0"/>
        <v>0</v>
      </c>
    </row>
    <row r="24" spans="2:17" x14ac:dyDescent="0.25">
      <c r="F24" s="74">
        <f t="shared" si="1"/>
        <v>2037</v>
      </c>
      <c r="G24" s="75">
        <f t="shared" si="6"/>
        <v>1.4892279423967869E-2</v>
      </c>
      <c r="H24" s="73">
        <f>IF(AND(F24&gt;=Year_Open_to_Traffic?,F24&lt;Year_Open_to_Traffic?+'Assumed Values'!C$9),1,0)</f>
        <v>0</v>
      </c>
      <c r="I24" s="77">
        <f>IF(F24=Year_Open_to_Traffic?,Calculations!$C$12,(I23+I23*G24))</f>
        <v>288.83629894919432</v>
      </c>
      <c r="J24" s="77">
        <f>I24*'Assumed Values'!$C$8</f>
        <v>17.096480237252951</v>
      </c>
      <c r="K24" s="93">
        <f t="shared" si="2"/>
        <v>4.8998713179308354E-3</v>
      </c>
      <c r="L24" s="79">
        <f>(K24*H24)*'Assumed Values'!$C$6</f>
        <v>0</v>
      </c>
      <c r="M24" s="80">
        <f t="shared" si="3"/>
        <v>0</v>
      </c>
      <c r="N24" s="77">
        <f>I24*'Assumed Values'!$C$7</f>
        <v>3.4526913461329856</v>
      </c>
      <c r="O24" s="93">
        <f t="shared" si="4"/>
        <v>9.8954458823301674E-4</v>
      </c>
      <c r="P24" s="79">
        <f>(O24*H24)*'Assumed Values'!$C$5</f>
        <v>0</v>
      </c>
      <c r="Q24" s="80">
        <f t="shared" si="0"/>
        <v>0</v>
      </c>
    </row>
    <row r="25" spans="2:17" x14ac:dyDescent="0.25">
      <c r="F25" s="12">
        <f t="shared" si="1"/>
        <v>2038</v>
      </c>
      <c r="G25" s="75">
        <f t="shared" si="6"/>
        <v>1.4892279423967869E-2</v>
      </c>
      <c r="H25" s="73">
        <f>IF(AND(F25&gt;=Year_Open_to_Traffic?,F25&lt;Year_Open_to_Traffic?+'Assumed Values'!C$9),1,0)</f>
        <v>0</v>
      </c>
      <c r="I25" s="77">
        <f>IF(F25=Year_Open_to_Traffic?,Calculations!$C$12,(I24+I24*G25))</f>
        <v>293.13772982093042</v>
      </c>
      <c r="J25" s="77">
        <f>I25*'Assumed Values'!$C$8</f>
        <v>17.351085798112464</v>
      </c>
      <c r="K25" s="93">
        <f t="shared" si="2"/>
        <v>4.972841570738947E-3</v>
      </c>
      <c r="L25" s="79">
        <f>(K25*H25)*'Assumed Values'!$C$6</f>
        <v>0</v>
      </c>
      <c r="M25" s="80">
        <f t="shared" si="3"/>
        <v>0</v>
      </c>
      <c r="N25" s="77">
        <f>I25*'Assumed Values'!$C$7</f>
        <v>3.5041097904243137</v>
      </c>
      <c r="O25" s="93">
        <f t="shared" si="4"/>
        <v>1.0042811627434579E-3</v>
      </c>
      <c r="P25" s="79">
        <f>(O25*H25)*'Assumed Values'!$C$5</f>
        <v>0</v>
      </c>
      <c r="Q25" s="80">
        <f t="shared" si="0"/>
        <v>0</v>
      </c>
    </row>
    <row r="26" spans="2:17" x14ac:dyDescent="0.25">
      <c r="F26" s="74">
        <f t="shared" si="1"/>
        <v>2039</v>
      </c>
      <c r="G26" s="75">
        <f t="shared" si="6"/>
        <v>1.4892279423967869E-2</v>
      </c>
      <c r="H26" s="73">
        <f>IF(AND(F26&gt;=Year_Open_to_Traffic?,F26&lt;Year_Open_to_Traffic?+'Assumed Values'!C$9),1,0)</f>
        <v>0</v>
      </c>
      <c r="I26" s="77">
        <f>IF(F26=Year_Open_to_Traffic?,Calculations!$C$12,(I25+I25*G26))</f>
        <v>297.50321880313129</v>
      </c>
      <c r="J26" s="77">
        <f>I26*'Assumed Values'!$C$8</f>
        <v>17.609483016127193</v>
      </c>
      <c r="K26" s="93">
        <f t="shared" si="2"/>
        <v>5.0468985169415141E-3</v>
      </c>
      <c r="L26" s="79">
        <f>(K26*H26)*'Assumed Values'!$C$6</f>
        <v>0</v>
      </c>
      <c r="M26" s="80">
        <f t="shared" si="3"/>
        <v>0</v>
      </c>
      <c r="N26" s="77">
        <f>I26*'Assumed Values'!$C$7</f>
        <v>3.5562939725555736</v>
      </c>
      <c r="O26" s="93">
        <f t="shared" si="4"/>
        <v>1.0192371984392608E-3</v>
      </c>
      <c r="P26" s="79">
        <f>(O26*H26)*'Assumed Values'!$C$5</f>
        <v>0</v>
      </c>
      <c r="Q26" s="80">
        <f t="shared" si="0"/>
        <v>0</v>
      </c>
    </row>
    <row r="27" spans="2:17" x14ac:dyDescent="0.25">
      <c r="F27" s="12">
        <f t="shared" si="1"/>
        <v>2040</v>
      </c>
      <c r="G27" s="75">
        <f t="shared" si="6"/>
        <v>1.4892279423967869E-2</v>
      </c>
      <c r="H27" s="73">
        <f>IF(AND(F27&gt;=Year_Open_to_Traffic?,F27&lt;Year_Open_to_Traffic?+'Assumed Values'!C$9),1,0)</f>
        <v>0</v>
      </c>
      <c r="I27" s="77">
        <f>IF(F27=Year_Open_to_Traffic?,Calculations!$C$12,(I26+I26*G27))</f>
        <v>301.9337198670774</v>
      </c>
      <c r="J27" s="77">
        <f>I27*'Assumed Values'!$C$8</f>
        <v>17.871728357714979</v>
      </c>
      <c r="K27" s="93">
        <f t="shared" si="2"/>
        <v>5.1220583398802165E-3</v>
      </c>
      <c r="L27" s="79">
        <f>(K27*H27)*'Assumed Values'!$C$6</f>
        <v>0</v>
      </c>
      <c r="M27" s="80">
        <f t="shared" si="3"/>
        <v>0</v>
      </c>
      <c r="N27" s="77">
        <f>I27*'Assumed Values'!$C$7</f>
        <v>3.6092552961086444</v>
      </c>
      <c r="O27" s="93">
        <f t="shared" si="4"/>
        <v>1.0344159635977206E-3</v>
      </c>
      <c r="P27" s="79">
        <f>(O27*H27)*'Assumed Values'!$C$5</f>
        <v>0</v>
      </c>
      <c r="Q27" s="80">
        <f t="shared" si="0"/>
        <v>0</v>
      </c>
    </row>
    <row r="28" spans="2:17" x14ac:dyDescent="0.25">
      <c r="F28" s="74">
        <f t="shared" si="1"/>
        <v>2041</v>
      </c>
      <c r="G28" s="75">
        <f t="shared" si="6"/>
        <v>1.4892279423967869E-2</v>
      </c>
      <c r="H28" s="73">
        <f>IF(AND(F28&gt;=Year_Open_to_Traffic?,F28&lt;Year_Open_to_Traffic?+'Assumed Values'!C$9),1,0)</f>
        <v>0</v>
      </c>
      <c r="I28" s="77">
        <f>IF(F28=Year_Open_to_Traffic?,Calculations!$C$12,(I27+I27*G28))</f>
        <v>306.43020119085594</v>
      </c>
      <c r="J28" s="77">
        <f>I28*'Assumed Values'!$C$8</f>
        <v>18.13787913020732</v>
      </c>
      <c r="K28" s="93">
        <f t="shared" si="2"/>
        <v>5.1983374639035778E-3</v>
      </c>
      <c r="L28" s="79">
        <f>(K28*H28)*'Assumed Values'!$C$6</f>
        <v>0</v>
      </c>
      <c r="M28" s="80">
        <f t="shared" si="3"/>
        <v>0</v>
      </c>
      <c r="N28" s="77">
        <f>I28*'Assumed Values'!$C$7</f>
        <v>3.6630053344907298</v>
      </c>
      <c r="O28" s="93">
        <f t="shared" si="4"/>
        <v>1.0498207751682307E-3</v>
      </c>
      <c r="P28" s="79">
        <f>(O28*H28)*'Assumed Values'!$C$5</f>
        <v>0</v>
      </c>
      <c r="Q28" s="80">
        <f t="shared" si="0"/>
        <v>0</v>
      </c>
    </row>
    <row r="29" spans="2:17" x14ac:dyDescent="0.25">
      <c r="F29" s="12">
        <f t="shared" si="1"/>
        <v>2042</v>
      </c>
      <c r="G29" s="75">
        <f t="shared" si="6"/>
        <v>1.4892279423967869E-2</v>
      </c>
      <c r="H29" s="73">
        <f>IF(AND(F29&gt;=Year_Open_to_Traffic?,F29&lt;Year_Open_to_Traffic?+'Assumed Values'!C$9),1,0)</f>
        <v>0</v>
      </c>
      <c r="I29" s="77">
        <f>IF(F29=Year_Open_to_Traffic?,Calculations!$C$12,(I28+I28*G29))</f>
        <v>310.99364537093288</v>
      </c>
      <c r="J29" s="77">
        <f>I29*'Assumed Values'!$C$8</f>
        <v>18.407993494372523</v>
      </c>
      <c r="K29" s="93">
        <f t="shared" si="2"/>
        <v>5.27575255795611E-3</v>
      </c>
      <c r="L29" s="79">
        <f>(K29*H29)*'Assumed Values'!$C$6</f>
        <v>0</v>
      </c>
      <c r="M29" s="80">
        <f t="shared" si="3"/>
        <v>0</v>
      </c>
      <c r="N29" s="77">
        <f>I29*'Assumed Values'!$C$7</f>
        <v>3.7175558334634511</v>
      </c>
      <c r="O29" s="93">
        <f t="shared" si="4"/>
        <v>1.0654549994971226E-3</v>
      </c>
      <c r="P29" s="79">
        <f>(O29*H29)*'Assumed Values'!$C$5</f>
        <v>0</v>
      </c>
      <c r="Q29" s="80">
        <f t="shared" si="0"/>
        <v>0</v>
      </c>
    </row>
    <row r="30" spans="2:17" x14ac:dyDescent="0.25">
      <c r="F30" s="74">
        <f t="shared" si="1"/>
        <v>2043</v>
      </c>
      <c r="G30" s="75">
        <f t="shared" si="6"/>
        <v>1.4892279423967869E-2</v>
      </c>
      <c r="H30" s="73">
        <f>IF(AND(F30&gt;=Year_Open_to_Traffic?,F30&lt;Year_Open_to_Traffic?+'Assumed Values'!C$9),1,0)</f>
        <v>0</v>
      </c>
      <c r="I30" s="77">
        <f>IF(F30=Year_Open_to_Traffic?,Calculations!$C$12,(I29+I29*G30))</f>
        <v>315.62504963687519</v>
      </c>
      <c r="J30" s="77">
        <f>I30*'Assumed Values'!$C$8</f>
        <v>18.682130477125302</v>
      </c>
      <c r="K30" s="93">
        <f t="shared" si="2"/>
        <v>5.3543205392209059E-3</v>
      </c>
      <c r="L30" s="79">
        <f>(K30*H30)*'Assumed Values'!$C$6</f>
        <v>0</v>
      </c>
      <c r="M30" s="80">
        <f t="shared" si="3"/>
        <v>0</v>
      </c>
      <c r="N30" s="77">
        <f>I30*'Assumed Values'!$C$7</f>
        <v>3.7729187137095908</v>
      </c>
      <c r="O30" s="93">
        <f t="shared" si="4"/>
        <v>1.0813220530632975E-3</v>
      </c>
      <c r="P30" s="79">
        <f>(O30*H30)*'Assumed Values'!$C$5</f>
        <v>0</v>
      </c>
      <c r="Q30" s="80">
        <f t="shared" si="0"/>
        <v>0</v>
      </c>
    </row>
    <row r="31" spans="2:17" x14ac:dyDescent="0.25">
      <c r="F31" s="74">
        <f t="shared" si="1"/>
        <v>2044</v>
      </c>
      <c r="G31" s="75">
        <f t="shared" si="6"/>
        <v>1.4892279423967869E-2</v>
      </c>
      <c r="H31" s="73">
        <f>IF(AND(F31&gt;=Year_Open_to_Traffic?,F31&lt;Year_Open_to_Traffic?+'Assumed Values'!C$9),1,0)</f>
        <v>0</v>
      </c>
      <c r="I31" s="77">
        <f>IF(F31=Year_Open_to_Traffic?,Calculations!$C$12,(I30+I30*G31))</f>
        <v>320.32542606927126</v>
      </c>
      <c r="J31" s="77">
        <f>I31*'Assumed Values'!$C$8</f>
        <v>18.96034998442568</v>
      </c>
      <c r="K31" s="93">
        <f t="shared" si="2"/>
        <v>5.4340585768164742E-3</v>
      </c>
      <c r="L31" s="79">
        <f>(K31*H31)*'Assumed Values'!$C$6</f>
        <v>0</v>
      </c>
      <c r="M31" s="80">
        <f t="shared" si="3"/>
        <v>0</v>
      </c>
      <c r="N31" s="77">
        <f>I31*'Assumed Values'!$C$7</f>
        <v>3.8291060734380711</v>
      </c>
      <c r="O31" s="93">
        <f t="shared" si="4"/>
        <v>1.0974254032248144E-3</v>
      </c>
      <c r="P31" s="79">
        <f>(O31*H31)*'Assumed Values'!$C$5</f>
        <v>0</v>
      </c>
      <c r="Q31" s="80">
        <f t="shared" si="0"/>
        <v>0</v>
      </c>
    </row>
    <row r="32" spans="2:17" x14ac:dyDescent="0.25">
      <c r="F32" s="74">
        <f t="shared" si="1"/>
        <v>2045</v>
      </c>
      <c r="G32" s="75">
        <f t="shared" si="6"/>
        <v>1.4892279423967869E-2</v>
      </c>
      <c r="H32" s="73">
        <f>IF(AND(F32&gt;=Year_Open_to_Traffic?,F32&lt;Year_Open_to_Traffic?+'Assumed Values'!C$9),1,0)</f>
        <v>0</v>
      </c>
      <c r="I32" s="77">
        <f>IF(F32=Year_Open_to_Traffic?,Calculations!$C$12,(I31+I31*G32))</f>
        <v>325.09580182089638</v>
      </c>
      <c r="J32" s="77">
        <f>I32*'Assumed Values'!$C$8</f>
        <v>19.24271281436997</v>
      </c>
      <c r="K32" s="93">
        <f t="shared" si="2"/>
        <v>5.5149840955486338E-3</v>
      </c>
      <c r="L32" s="79">
        <f>(K32*H32)*'Assumed Values'!$C$6</f>
        <v>0</v>
      </c>
      <c r="M32" s="80">
        <f t="shared" si="3"/>
        <v>0</v>
      </c>
      <c r="N32" s="77">
        <f>I32*'Assumed Values'!$C$7</f>
        <v>3.8861301910277231</v>
      </c>
      <c r="O32" s="93">
        <f t="shared" si="4"/>
        <v>1.1137685689765989E-3</v>
      </c>
      <c r="P32" s="79">
        <f>(O32*H32)*'Assumed Values'!$C$5</f>
        <v>0</v>
      </c>
      <c r="Q32" s="80">
        <f t="shared" si="0"/>
        <v>0</v>
      </c>
    </row>
    <row r="33" spans="6:17" x14ac:dyDescent="0.25">
      <c r="F33" s="74">
        <f t="shared" si="1"/>
        <v>2046</v>
      </c>
      <c r="G33" s="75">
        <f t="shared" si="6"/>
        <v>1.4892279423967869E-2</v>
      </c>
      <c r="H33" s="73">
        <f>IF(AND(F33&gt;=Year_Open_to_Traffic?,F33&lt;Year_Open_to_Traffic?+'Assumed Values'!C$9),1,0)</f>
        <v>0</v>
      </c>
      <c r="I33" s="77">
        <f>IF(F33=Year_Open_to_Traffic?,Calculations!$C$12,(I32+I32*G33))</f>
        <v>329.93721934117207</v>
      </c>
      <c r="J33" s="77">
        <f>I33*'Assumed Values'!$C$8</f>
        <v>19.529280670476734</v>
      </c>
      <c r="K33" s="93">
        <f t="shared" si="2"/>
        <v>5.5971147797182833E-3</v>
      </c>
      <c r="L33" s="79">
        <f>(K33*H33)*'Assumed Values'!$C$6</f>
        <v>0</v>
      </c>
      <c r="M33" s="80">
        <f t="shared" si="3"/>
        <v>0</v>
      </c>
      <c r="N33" s="77">
        <f>I33*'Assumed Values'!$C$7</f>
        <v>3.9440035277104259</v>
      </c>
      <c r="O33" s="93">
        <f t="shared" si="4"/>
        <v>1.1303551217194314E-3</v>
      </c>
      <c r="P33" s="79">
        <f>(O33*H33)*'Assumed Values'!$C$5</f>
        <v>0</v>
      </c>
      <c r="Q33" s="80">
        <f t="shared" si="0"/>
        <v>0</v>
      </c>
    </row>
    <row r="34" spans="6:17" x14ac:dyDescent="0.25">
      <c r="F34" s="74">
        <f t="shared" si="1"/>
        <v>2047</v>
      </c>
      <c r="G34" s="75">
        <f t="shared" si="6"/>
        <v>1.4892279423967869E-2</v>
      </c>
      <c r="H34" s="73">
        <f>IF(AND(F34&gt;=Year_Open_to_Traffic?,F34&lt;Year_Open_to_Traffic?+'Assumed Values'!C$9),1,0)</f>
        <v>0</v>
      </c>
      <c r="I34" s="77">
        <f>IF(F34=Year_Open_to_Traffic?,Calculations!$C$12,(I33+I33*G34))</f>
        <v>334.85073660396779</v>
      </c>
      <c r="J34" s="77">
        <f>I34*'Assumed Values'!$C$8</f>
        <v>19.820116175170568</v>
      </c>
      <c r="K34" s="93">
        <f t="shared" si="2"/>
        <v>5.6804685769858672E-3</v>
      </c>
      <c r="L34" s="79">
        <f>(K34*H34)*'Assumed Values'!$C$6</f>
        <v>0</v>
      </c>
      <c r="M34" s="80">
        <f t="shared" si="3"/>
        <v>0</v>
      </c>
      <c r="N34" s="77">
        <f>I34*'Assumed Values'!$C$7</f>
        <v>4.0027387302942046</v>
      </c>
      <c r="O34" s="93">
        <f t="shared" si="4"/>
        <v>1.1471886860403905E-3</v>
      </c>
      <c r="P34" s="79">
        <f>(O34*H34)*'Assumed Values'!$C$5</f>
        <v>0</v>
      </c>
      <c r="Q34" s="80">
        <f t="shared" si="0"/>
        <v>0</v>
      </c>
    </row>
    <row r="35" spans="6:17" x14ac:dyDescent="0.25">
      <c r="F35" s="74">
        <f t="shared" si="1"/>
        <v>2048</v>
      </c>
      <c r="G35" s="75">
        <f t="shared" si="6"/>
        <v>1.4892279423967869E-2</v>
      </c>
      <c r="H35" s="73">
        <f>IF(AND(F35&gt;=Year_Open_to_Traffic?,F35&lt;Year_Open_to_Traffic?+'Assumed Values'!C$9),1,0)</f>
        <v>0</v>
      </c>
      <c r="I35" s="77">
        <f>IF(F35=Year_Open_to_Traffic?,Calculations!$C$12,(I34+I34*G35))</f>
        <v>339.83742733879552</v>
      </c>
      <c r="J35" s="77">
        <f>I35*'Assumed Values'!$C$8</f>
        <v>20.115282883466712</v>
      </c>
      <c r="K35" s="93">
        <f t="shared" si="2"/>
        <v>5.76506370229341E-3</v>
      </c>
      <c r="L35" s="79">
        <f>(K35*H35)*'Assumed Values'!$C$6</f>
        <v>0</v>
      </c>
      <c r="M35" s="80">
        <f t="shared" si="3"/>
        <v>0</v>
      </c>
      <c r="N35" s="77">
        <f>I35*'Assumed Values'!$C$7</f>
        <v>4.0623486339268835</v>
      </c>
      <c r="O35" s="93">
        <f t="shared" si="4"/>
        <v>1.1642729405049184E-3</v>
      </c>
      <c r="P35" s="79">
        <f>(O35*H35)*'Assumed Values'!$C$5</f>
        <v>0</v>
      </c>
      <c r="Q35" s="80">
        <f t="shared" si="0"/>
        <v>0</v>
      </c>
    </row>
    <row r="36" spans="6:17" x14ac:dyDescent="0.25">
      <c r="F36" s="74">
        <f t="shared" si="1"/>
        <v>2049</v>
      </c>
      <c r="G36" s="75">
        <f t="shared" si="6"/>
        <v>1.4892279423967869E-2</v>
      </c>
      <c r="H36" s="73">
        <f>IF(AND(F36&gt;=Year_Open_to_Traffic?,F36&lt;Year_Open_to_Traffic?+'Assumed Values'!C$9),1,0)</f>
        <v>0</v>
      </c>
      <c r="I36" s="77">
        <f>IF(F36=Year_Open_to_Traffic?,Calculations!$C$12,(I35+I35*G36))</f>
        <v>344.89838126544726</v>
      </c>
      <c r="J36" s="77">
        <f>I36*'Assumed Values'!$C$8</f>
        <v>20.414845296859458</v>
      </c>
      <c r="K36" s="93">
        <f t="shared" si="2"/>
        <v>5.8509186418449393E-3</v>
      </c>
      <c r="L36" s="79">
        <f>(K36*H36)*'Assumed Values'!$C$6</f>
        <v>0</v>
      </c>
      <c r="M36" s="80">
        <f t="shared" si="3"/>
        <v>0</v>
      </c>
      <c r="N36" s="77">
        <f>I36*'Assumed Values'!$C$7</f>
        <v>4.1228462649008977</v>
      </c>
      <c r="O36" s="93">
        <f t="shared" si="4"/>
        <v>1.1816116184606826E-3</v>
      </c>
      <c r="P36" s="79">
        <f>(O36*H36)*'Assumed Values'!$C$5</f>
        <v>0</v>
      </c>
      <c r="Q36" s="80">
        <f t="shared" si="0"/>
        <v>0</v>
      </c>
    </row>
    <row r="37" spans="6:17" x14ac:dyDescent="0.25">
      <c r="F37" s="74">
        <f t="shared" si="1"/>
        <v>2050</v>
      </c>
      <c r="G37" s="75">
        <f t="shared" si="6"/>
        <v>1.4892279423967869E-2</v>
      </c>
      <c r="H37" s="73">
        <f>IF(AND(F37&gt;=Year_Open_to_Traffic?,F37&lt;Year_Open_to_Traffic?+'Assumed Values'!C$9),1,0)</f>
        <v>0</v>
      </c>
      <c r="I37" s="77">
        <f>IF(F37=Year_Open_to_Traffic?,Calculations!$C$12,(I36+I36*G37))</f>
        <v>350.03470433212652</v>
      </c>
      <c r="J37" s="77">
        <f>I37*'Assumed Values'!$C$8</f>
        <v>20.718868877417368</v>
      </c>
      <c r="K37" s="93">
        <f t="shared" si="2"/>
        <v>5.9380521571461963E-3</v>
      </c>
      <c r="L37" s="79">
        <f>(K37*H37)*'Assumed Values'!$C$6</f>
        <v>0</v>
      </c>
      <c r="M37" s="80">
        <f t="shared" si="3"/>
        <v>0</v>
      </c>
      <c r="N37" s="77">
        <f>I37*'Assumed Values'!$C$7</f>
        <v>4.1842448434998643</v>
      </c>
      <c r="O37" s="93">
        <f t="shared" si="4"/>
        <v>1.199208508853406E-3</v>
      </c>
      <c r="P37" s="79">
        <f>(O37*H37)*'Assumed Values'!$C$5</f>
        <v>0</v>
      </c>
      <c r="Q37" s="80">
        <f t="shared" si="0"/>
        <v>0</v>
      </c>
    </row>
    <row r="38" spans="6:17" x14ac:dyDescent="0.25">
      <c r="F38" s="13" t="s">
        <v>63</v>
      </c>
      <c r="G38" s="13"/>
      <c r="H38" s="77"/>
      <c r="I38" s="76"/>
      <c r="J38" s="77"/>
      <c r="K38" s="78">
        <f>SUM(K5:K37)</f>
        <v>0.14054687889718978</v>
      </c>
      <c r="L38" s="79">
        <f>SUM(L5:L37)</f>
        <v>380.08286330904423</v>
      </c>
      <c r="M38" s="80">
        <f>SUM(M5:M37)</f>
        <v>202.15555260877969</v>
      </c>
      <c r="N38" s="77"/>
      <c r="O38" s="78">
        <f>SUM(O5:O37)</f>
        <v>2.8383888959860736E-2</v>
      </c>
      <c r="P38" s="79">
        <f>SUM(P5:P37)</f>
        <v>19.475996983553685</v>
      </c>
      <c r="Q38" s="80">
        <f>SUM(Q5:Q37)</f>
        <v>10.358743613273381</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24"/>
  <sheetViews>
    <sheetView zoomScaleNormal="100" workbookViewId="0">
      <selection activeCell="C5" sqref="C5"/>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1.1953799985300001E-2</v>
      </c>
      <c r="D7" s="114"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5.9190899133699897E-2</v>
      </c>
      <c r="D8" s="114"/>
    </row>
    <row r="9" spans="2:4" x14ac:dyDescent="0.25">
      <c r="B9" s="29" t="s">
        <v>61</v>
      </c>
      <c r="C9" s="30">
        <f>'Inputs &amp; Outputs'!$B$17</f>
        <v>12</v>
      </c>
    </row>
    <row r="10" spans="2:4" x14ac:dyDescent="0.25">
      <c r="B10" s="29" t="s">
        <v>79</v>
      </c>
      <c r="C10" s="56" t="str">
        <f>'Inputs &amp; Outputs'!B15</f>
        <v>Non 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5" t="s">
        <v>121</v>
      </c>
      <c r="B1" s="115"/>
      <c r="C1" s="115"/>
      <c r="D1" s="115"/>
      <c r="E1" s="115"/>
      <c r="F1" s="115"/>
      <c r="G1" s="115"/>
      <c r="H1" s="115"/>
      <c r="I1" s="115"/>
      <c r="J1" s="115"/>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5" t="s">
        <v>121</v>
      </c>
      <c r="B20" s="115"/>
      <c r="C20" s="115"/>
      <c r="D20" s="115"/>
      <c r="E20" s="115"/>
      <c r="F20" s="115"/>
      <c r="G20" s="115"/>
      <c r="H20" s="115"/>
      <c r="I20" s="115"/>
      <c r="J20" s="115"/>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5" t="s">
        <v>121</v>
      </c>
      <c r="B1" s="115"/>
      <c r="C1" s="115"/>
      <c r="D1" s="115"/>
      <c r="E1" s="115"/>
      <c r="F1" s="115"/>
      <c r="G1" s="115"/>
      <c r="H1" s="115"/>
      <c r="I1" s="115"/>
      <c r="J1" s="115"/>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5" t="s">
        <v>121</v>
      </c>
      <c r="B20" s="115"/>
      <c r="C20" s="115"/>
      <c r="D20" s="115"/>
      <c r="E20" s="115"/>
      <c r="F20" s="115"/>
      <c r="G20" s="115"/>
      <c r="H20" s="115"/>
      <c r="I20" s="115"/>
      <c r="J20" s="115"/>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2018-10-29T15:09:50Z</cp:lastPrinted>
  <dcterms:created xsi:type="dcterms:W3CDTF">2012-07-25T15:48:32Z</dcterms:created>
  <dcterms:modified xsi:type="dcterms:W3CDTF">2018-10-31T20:39:33Z</dcterms:modified>
</cp:coreProperties>
</file>