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OPFS\Project Data\1 - TIP (Transportation Improvement Program)\2019-2022 TIP\Independence Trail\"/>
    </mc:Choice>
  </mc:AlternateContent>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52511"/>
</workbook>
</file>

<file path=xl/calcChain.xml><?xml version="1.0" encoding="utf-8"?>
<calcChain xmlns="http://schemas.openxmlformats.org/spreadsheetml/2006/main">
  <c r="B28" i="11" l="1"/>
  <c r="B35" i="11" l="1"/>
  <c r="F18" i="1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<sst xmlns="http://schemas.openxmlformats.org/spreadsheetml/2006/main" count="290" uniqueCount="236">
  <si>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</si>
  <si>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</si>
  <si>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</si>
  <si>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</si>
  <si>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</si>
  <si>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</si>
  <si>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</si>
  <si>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</si>
  <si>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</si>
  <si>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</si>
  <si>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</si>
  <si>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</si>
  <si>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</si>
  <si>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</si>
  <si>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</si>
  <si>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</si>
  <si>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</si>
  <si>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</si>
  <si>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</si>
  <si>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</si>
  <si>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</si>
  <si>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</si>
  <si>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</si>
  <si>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</si>
  <si>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</si>
  <si>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</si>
  <si>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</si>
  <si>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</si>
  <si>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</si>
  <si>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</si>
  <si>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</si>
  <si>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</si>
  <si>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</si>
  <si>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</si>
  <si>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</si>
  <si>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</si>
  <si>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</si>
  <si>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</si>
  <si>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</si>
  <si>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</si>
  <si>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</si>
  <si>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</si>
  <si>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</si>
  <si>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</si>
  <si>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</si>
  <si>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</si>
  <si>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</si>
  <si>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</si>
  <si>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</si>
  <si>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</si>
  <si>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</si>
  <si>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</si>
  <si>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</si>
  <si>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</si>
  <si>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</si>
  <si>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</si>
  <si>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</si>
  <si>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</si>
  <si>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</si>
  <si>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</si>
  <si>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</si>
  <si>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</si>
  <si>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</si>
  <si>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</si>
  <si>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</si>
  <si>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</si>
  <si>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</si>
  <si>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</si>
  <si>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</si>
  <si>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</si>
  <si>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</si>
  <si>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</si>
  <si>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</si>
  <si>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</si>
  <si>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</si>
  <si>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</si>
  <si>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</si>
  <si>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</si>
  <si>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</si>
  <si>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</si>
  <si>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</si>
  <si>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</si>
  <si>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</si>
  <si>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</si>
  <si>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</si>
  <si>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</si>
  <si>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</si>
  <si>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</si>
  <si>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</si>
  <si>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</si>
  <si>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</si>
  <si>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</si>
  <si>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</si>
  <si>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</si>
  <si>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</si>
  <si>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</si>
  <si>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</si>
  <si>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</si>
  <si>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</si>
  <si>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</si>
  <si>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</si>
  <si>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</si>
  <si>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</si>
  <si>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</si>
  <si>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</si>
  <si>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</si>
  <si>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</si>
  <si>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</si>
  <si>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</si>
  <si>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</si>
  <si>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</si>
  <si>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</si>
  <si>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</si>
  <si>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</si>
  <si>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</si>
  <si>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</si>
  <si>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</si>
  <si>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</si>
  <si>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</si>
  <si>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</si>
  <si>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</si>
  <si>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</si>
  <si>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</si>
  <si>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</si>
  <si>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</si>
  <si>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</si>
  <si>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</si>
  <si>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</si>
  <si>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</si>
  <si>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</si>
  <si>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</si>
  <si>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</si>
  <si>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</si>
  <si>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</si>
  <si>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</si>
  <si>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</si>
  <si>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</si>
  <si>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</si>
  <si>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</si>
  <si>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</si>
  <si>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</si>
  <si>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</si>
  <si>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</si>
  <si>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</si>
  <si>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</si>
  <si>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</si>
  <si>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</si>
  <si>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</si>
  <si>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</si>
  <si>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</si>
  <si>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</si>
  <si>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</si>
  <si>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</si>
  <si>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</si>
  <si>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</si>
  <si>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</si>
  <si>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</si>
  <si>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</si>
  <si>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</si>
  <si>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</si>
  <si>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</si>
  <si>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</si>
  <si>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</si>
  <si>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</si>
  <si>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</si>
  <si>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</si>
  <si>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</si>
  <si>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</si>
  <si>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</si>
  <si>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</si>
  <si>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</si>
  <si>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</si>
  <si>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</si>
  <si>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</si>
  <si>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</si>
  <si>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</si>
  <si>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</si>
  <si>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</si>
  <si>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</si>
  <si>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</si>
  <si>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</si>
  <si>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</si>
  <si>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</si>
  <si>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</si>
  <si>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</si>
  <si>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</si>
  <si>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</si>
  <si>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</si>
  <si>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</si>
  <si>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</si>
  <si>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</si>
  <si>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</si>
  <si>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</si>
  <si>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</si>
  <si>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</si>
  <si>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</si>
  <si>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</si>
  <si>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</si>
  <si>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</si>
  <si>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</si>
  <si>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</si>
  <si>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</si>
  <si>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</si>
  <si>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</si>
  <si>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</si>
  <si>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</si>
  <si>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</si>
  <si>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</si>
  <si>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</si>
  <si>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</si>
  <si>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</si>
  <si>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</si>
  <si>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</si>
  <si>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</si>
  <si>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</si>
  <si>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</si>
  <si>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</si>
  <si>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</si>
  <si>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</si>
  <si>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</si>
  <si>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</si>
  <si>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</si>
  <si>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</si>
  <si>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</si>
  <si>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</si>
  <si>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</si>
  <si>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</si>
  <si>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</si>
  <si>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</si>
  <si>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</si>
  <si>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</si>
  <si>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</si>
  <si>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</si>
  <si>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 xml:space="preserve">Independence Trail (Trail Connectivity Ph IV) </t>
  </si>
  <si>
    <t>FM 518</t>
  </si>
  <si>
    <t>Independence Park</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</si>
</sst>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topLeftCell="A16" zoomScaleNormal="100" workbookViewId="0">
      <selection activeCell="E12" sqref="E12"/>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60" x14ac:dyDescent="0.25">
      <c r="A6" s="8" t="s">
        <v>97</v>
      </c>
      <c r="B6" s="137" t="s">
        <v>233</v>
      </c>
      <c r="D6" s="8"/>
      <c r="E6" s="103" t="s">
        <v>187</v>
      </c>
    </row>
    <row r="7" spans="1:7" x14ac:dyDescent="0.25">
      <c r="A7" s="8" t="s">
        <v>98</v>
      </c>
      <c r="B7" s="138" t="s">
        <v>197</v>
      </c>
      <c r="D7" s="104"/>
      <c r="E7" s="103" t="s">
        <v>196</v>
      </c>
    </row>
    <row r="8" spans="1:7" x14ac:dyDescent="0.25">
      <c r="A8" s="8" t="s">
        <v>99</v>
      </c>
      <c r="B8" s="138" t="s">
        <v>206</v>
      </c>
      <c r="D8" s="105"/>
      <c r="E8" s="103" t="s">
        <v>216</v>
      </c>
    </row>
    <row r="9" spans="1:7" x14ac:dyDescent="0.25">
      <c r="A9" s="8" t="s">
        <v>100</v>
      </c>
      <c r="B9" s="138"/>
      <c r="D9" s="106"/>
      <c r="E9" s="103" t="s">
        <v>188</v>
      </c>
    </row>
    <row r="10" spans="1:7" x14ac:dyDescent="0.25">
      <c r="A10" s="8" t="s">
        <v>101</v>
      </c>
      <c r="B10" s="138" t="s">
        <v>234</v>
      </c>
    </row>
    <row r="11" spans="1:7" x14ac:dyDescent="0.25">
      <c r="A11" s="8" t="s">
        <v>102</v>
      </c>
      <c r="B11" s="138" t="s">
        <v>235</v>
      </c>
    </row>
    <row r="12" spans="1:7" x14ac:dyDescent="0.25">
      <c r="A12" s="8" t="s">
        <v>103</v>
      </c>
      <c r="B12" s="138">
        <v>0.75</v>
      </c>
    </row>
    <row r="13" spans="1:7" x14ac:dyDescent="0.25">
      <c r="A13" s="8" t="s">
        <v>68</v>
      </c>
      <c r="B13" s="138">
        <v>166</v>
      </c>
      <c r="F13" s="120"/>
    </row>
    <row r="14" spans="1:7" x14ac:dyDescent="0.25">
      <c r="A14" s="8" t="s">
        <v>69</v>
      </c>
      <c r="B14" s="138"/>
    </row>
    <row r="17" spans="1:7" x14ac:dyDescent="0.25">
      <c r="A17" s="119" t="s">
        <v>120</v>
      </c>
      <c r="E17" s="151" t="s">
        <v>231</v>
      </c>
      <c r="F17" s="152"/>
    </row>
    <row r="18" spans="1:7" x14ac:dyDescent="0.25">
      <c r="A18" s="8" t="s">
        <v>79</v>
      </c>
      <c r="B18" s="139">
        <v>2022</v>
      </c>
      <c r="E18" s="105" t="s">
        <v>232</v>
      </c>
      <c r="F18" s="145">
        <f>$B$12/$B$32</f>
        <v>2.5000000000000001E-2</v>
      </c>
    </row>
    <row r="19" spans="1:7" ht="60" x14ac:dyDescent="0.25">
      <c r="A19" s="8" t="s">
        <v>121</v>
      </c>
      <c r="B19" s="140" t="s">
        <v>132</v>
      </c>
      <c r="E19" s="107" t="s">
        <v>212</v>
      </c>
      <c r="F19" s="146">
        <f>$B$12/$B$33</f>
        <v>1.8749999999999999E-2</v>
      </c>
    </row>
    <row r="20" spans="1:7" ht="30" x14ac:dyDescent="0.25">
      <c r="A20" s="135" t="s">
        <v>208</v>
      </c>
      <c r="B20" s="136">
        <f>VLOOKUP(B19,'Delay Reduction Factors'!B4:C80,2, FALSE)</f>
        <v>0.01</v>
      </c>
      <c r="E20" s="107" t="s">
        <v>209</v>
      </c>
      <c r="F20" s="145">
        <f>$F$19-$F$18</f>
        <v>-6.2500000000000021E-3</v>
      </c>
    </row>
    <row r="21" spans="1:7" x14ac:dyDescent="0.25">
      <c r="A21" s="8" t="s">
        <v>104</v>
      </c>
      <c r="B21" s="79">
        <v>20</v>
      </c>
      <c r="D21" s="121"/>
      <c r="E21" s="105" t="s">
        <v>210</v>
      </c>
      <c r="F21" s="145">
        <f>$F$20*$B$20</f>
        <v>-6.2500000000000028E-5</v>
      </c>
      <c r="G21" s="122"/>
    </row>
    <row r="22" spans="1:7" s="113" customFormat="1" x14ac:dyDescent="0.25">
      <c r="D22" s="121"/>
      <c r="E22" s="105" t="s">
        <v>211</v>
      </c>
      <c r="F22" s="145">
        <f>$F$20-$F$21</f>
        <v>-6.187500000000002E-3</v>
      </c>
      <c r="G22" s="122"/>
    </row>
    <row r="23" spans="1:7" x14ac:dyDescent="0.25">
      <c r="E23" s="105" t="s">
        <v>213</v>
      </c>
      <c r="F23" s="145">
        <f>$F$18+$F$22</f>
        <v>1.8812499999999999E-2</v>
      </c>
    </row>
    <row r="24" spans="1:7" x14ac:dyDescent="0.25">
      <c r="A24" s="119" t="s">
        <v>94</v>
      </c>
      <c r="B24" s="123"/>
      <c r="D24" s="121"/>
      <c r="G24" s="124"/>
    </row>
    <row r="25" spans="1:7" x14ac:dyDescent="0.25">
      <c r="A25" s="8" t="s">
        <v>218</v>
      </c>
      <c r="B25" s="141">
        <v>15700</v>
      </c>
      <c r="D25" s="121"/>
      <c r="G25" s="124"/>
    </row>
    <row r="28" spans="1:7" x14ac:dyDescent="0.25">
      <c r="A28" s="105" t="s">
        <v>227</v>
      </c>
      <c r="B28" s="134">
        <f>IF(FacilityType='Delay Reduction Factors'!N5,'Inputs &amp; Outputs'!B25*45%, B25*43%)</f>
        <v>6751</v>
      </c>
      <c r="D28" s="121"/>
      <c r="E28" s="125" t="s">
        <v>95</v>
      </c>
      <c r="F28" s="126" t="s">
        <v>20</v>
      </c>
      <c r="G28" s="127" t="s">
        <v>19</v>
      </c>
    </row>
    <row r="29" spans="1:7" x14ac:dyDescent="0.25">
      <c r="A29" s="105" t="s">
        <v>228</v>
      </c>
      <c r="B29" s="115">
        <f>VLOOKUP(Year_Open_to_Traffic?,Calculations!H4:I36,2)</f>
        <v>7845.8449648248161</v>
      </c>
      <c r="D29" s="121"/>
      <c r="E29" s="107" t="s">
        <v>122</v>
      </c>
      <c r="F29" s="101">
        <f>$B$29*$F$23</f>
        <v>147.59995840076684</v>
      </c>
      <c r="G29" s="102">
        <f>$B$29*$F$19</f>
        <v>147.1095930904653</v>
      </c>
    </row>
    <row r="30" spans="1:7" x14ac:dyDescent="0.25">
      <c r="A30" s="124"/>
      <c r="B30" s="100"/>
      <c r="D30" s="121"/>
    </row>
    <row r="32" spans="1:7" x14ac:dyDescent="0.25">
      <c r="A32" s="128" t="s">
        <v>221</v>
      </c>
      <c r="B32" s="142">
        <v>30</v>
      </c>
      <c r="D32" s="121"/>
    </row>
    <row r="33" spans="1:7" ht="30" x14ac:dyDescent="0.25">
      <c r="A33" s="129" t="s">
        <v>222</v>
      </c>
      <c r="B33" s="143">
        <v>40</v>
      </c>
      <c r="D33" s="121"/>
      <c r="E33" s="121"/>
      <c r="F33" s="130"/>
      <c r="G33" s="117"/>
    </row>
    <row r="34" spans="1:7" x14ac:dyDescent="0.25">
      <c r="A34" s="131"/>
      <c r="B34" s="144"/>
      <c r="E34" s="117"/>
      <c r="F34" s="130"/>
      <c r="G34" s="130"/>
    </row>
    <row r="35" spans="1:7" x14ac:dyDescent="0.25">
      <c r="A35" s="105" t="s">
        <v>223</v>
      </c>
      <c r="B35" s="148">
        <f>$B$28</f>
        <v>6751</v>
      </c>
    </row>
    <row r="36" spans="1:7" x14ac:dyDescent="0.25">
      <c r="A36" s="128" t="s">
        <v>224</v>
      </c>
      <c r="B36" s="142">
        <v>6400</v>
      </c>
    </row>
    <row r="37" spans="1:7" x14ac:dyDescent="0.25">
      <c r="A37" s="128" t="s">
        <v>229</v>
      </c>
      <c r="B37" s="142">
        <v>8782</v>
      </c>
    </row>
    <row r="38" spans="1:7" x14ac:dyDescent="0.25">
      <c r="A38" s="128" t="s">
        <v>225</v>
      </c>
      <c r="B38" s="142">
        <v>6400</v>
      </c>
    </row>
    <row r="39" spans="1:7" x14ac:dyDescent="0.25">
      <c r="A39" s="128" t="s">
        <v>230</v>
      </c>
      <c r="B39" s="142">
        <v>11803</v>
      </c>
    </row>
    <row r="40" spans="1:7" x14ac:dyDescent="0.25">
      <c r="A40" s="128" t="s">
        <v>226</v>
      </c>
      <c r="B40" s="142">
        <v>6400</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-42.49514745301493</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38375.989184199381</v>
      </c>
      <c r="F4" s="22">
        <f>'Inputs &amp; Outputs'!G29*Annual_Days_of_Travel</f>
        <v>38248.494203520975</v>
      </c>
      <c r="H4" s="59">
        <v>2018</v>
      </c>
      <c r="I4" s="60">
        <f>'Inputs &amp; Outputs'!B28</f>
        <v>6751</v>
      </c>
      <c r="J4" s="60">
        <f>IF(H4=Year_Open_to_Traffic?,$F$4,0)</f>
        <v>0</v>
      </c>
      <c r="K4" s="60">
        <f>IF(H4=Year_Open_to_Traffic?,Calculations!$E$4,0)</f>
        <v>0</v>
      </c>
      <c r="L4" s="60">
        <f>IF(AND(H4&gt;=Year_Open_to_Traffic?, Calculations!H4&lt;Year_Open_to_Traffic?+'Inputs &amp; Outputs'!B$21), 1, 0)</f>
        <v>0</v>
      </c>
      <c r="M4" s="81" t="s">
        <v>75</v>
      </c>
      <c r="N4" s="82">
        <f>MIN(E8,1)</f>
        <v>1</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3.8288164602770847E-2</v>
      </c>
      <c r="F5" s="28"/>
      <c r="H5" s="15">
        <f t="shared" ref="H5:H36" si="3">H4+1</f>
        <v>2019</v>
      </c>
      <c r="I5" s="97">
        <f>(I4*M5)+I4</f>
        <v>7009.483399233306</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3.8288164602770847E-2</v>
      </c>
      <c r="N5" s="87">
        <f t="shared" ref="N5:N11" si="6">N4*(1+IFERROR(_2018_2025_V_C_Growth,_2018_2045_V_C_Growth))</f>
        <v>1.0382881646027708</v>
      </c>
      <c r="O5" s="88">
        <f t="shared" ref="O5:O36" si="7">-(ROUNDUP(N5,0)-2)</f>
        <v>0</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1.4892279423967869E-2</v>
      </c>
      <c r="F6" s="28"/>
      <c r="H6" s="59">
        <f t="shared" si="3"/>
        <v>2020</v>
      </c>
      <c r="I6" s="97">
        <f t="shared" ref="I6:I36" si="10">(I5*M6)+I5</f>
        <v>7277.8636534035404</v>
      </c>
      <c r="J6" s="60">
        <f t="shared" si="4"/>
        <v>0</v>
      </c>
      <c r="K6" s="60">
        <f>IF(H6=Year_Open_to_Traffic?,Calculations!$E$4,K5+(K5*M6))</f>
        <v>0</v>
      </c>
      <c r="L6" s="60">
        <f>IF(AND(H6&gt;=Year_Open_to_Traffic?, Calculations!H6&lt;Year_Open_to_Traffic?+'Inputs &amp; Outputs'!B$21), 1, 0)</f>
        <v>0</v>
      </c>
      <c r="M6" s="81">
        <f t="shared" si="5"/>
        <v>3.8288164602770847E-2</v>
      </c>
      <c r="N6" s="87">
        <f t="shared" si="6"/>
        <v>1.0780423127541905</v>
      </c>
      <c r="O6" s="88">
        <f t="shared" si="7"/>
        <v>0</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2.0906773209257157E-2</v>
      </c>
      <c r="F7" s="28"/>
      <c r="H7" s="15">
        <f t="shared" si="3"/>
        <v>2021</v>
      </c>
      <c r="I7" s="97">
        <f t="shared" si="10"/>
        <v>7556.5196949215788</v>
      </c>
      <c r="J7" s="60">
        <f t="shared" si="4"/>
        <v>0</v>
      </c>
      <c r="K7" s="60">
        <f>IF(H7=Year_Open_to_Traffic?,Calculations!$E$4,K6+(K6*M7))</f>
        <v>0</v>
      </c>
      <c r="L7" s="60">
        <f>IF(AND(H7&gt;=Year_Open_to_Traffic?, Calculations!H7&lt;Year_Open_to_Traffic?+'Inputs &amp; Outputs'!B$21), 1, 0)</f>
        <v>0</v>
      </c>
      <c r="M7" s="81">
        <f t="shared" si="5"/>
        <v>3.8288164602770847E-2</v>
      </c>
      <c r="N7" s="87">
        <f t="shared" si="6"/>
        <v>1.1193185742736746</v>
      </c>
      <c r="O7" s="88">
        <f t="shared" si="7"/>
        <v>0</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1.0548437500000001</v>
      </c>
      <c r="F8" s="28"/>
      <c r="H8" s="59">
        <f t="shared" si="3"/>
        <v>2022</v>
      </c>
      <c r="I8" s="97">
        <f t="shared" si="10"/>
        <v>7845.8449648248161</v>
      </c>
      <c r="J8" s="60">
        <f t="shared" si="4"/>
        <v>38248.494203520975</v>
      </c>
      <c r="K8" s="60">
        <f>IF(H8=Year_Open_to_Traffic?,Calculations!$E$4,K7+(K7*M8))</f>
        <v>38375.989184199381</v>
      </c>
      <c r="L8" s="60">
        <f>IF(AND(H8&gt;=Year_Open_to_Traffic?, Calculations!H8&lt;Year_Open_to_Traffic?+'Inputs &amp; Outputs'!B$21), 1, 0)</f>
        <v>1</v>
      </c>
      <c r="M8" s="81">
        <f t="shared" si="5"/>
        <v>3.8288164602770847E-2</v>
      </c>
      <c r="N8" s="87">
        <f t="shared" si="6"/>
        <v>1.1621752280884039</v>
      </c>
      <c r="O8" s="88">
        <f t="shared" si="7"/>
        <v>0</v>
      </c>
      <c r="P8" s="84">
        <f>(J8-K8)*L8</f>
        <v>-127.49498067840614</v>
      </c>
      <c r="Q8" s="85">
        <f>IF(AND(H8&gt;=Year_Open_to_Traffic?,H8&lt;Year_Open_to_Traffic?+Years_to_include_in_BCA_Analysis),1,0)</f>
        <v>1</v>
      </c>
      <c r="R8" s="86">
        <f t="shared" si="1"/>
        <v>19.416758600864465</v>
      </c>
      <c r="S8" s="94">
        <f t="shared" si="2"/>
        <v>-3.4409995750897422</v>
      </c>
      <c r="T8" s="80">
        <f t="shared" si="9"/>
        <v>-2.6251221004935332</v>
      </c>
      <c r="W8" s="73"/>
      <c r="X8" s="73"/>
    </row>
    <row r="9" spans="1:24" x14ac:dyDescent="0.25">
      <c r="A9" s="18" t="s">
        <v>64</v>
      </c>
      <c r="B9" s="18">
        <f>'Inputs &amp; Outputs'!B21</f>
        <v>20</v>
      </c>
      <c r="D9" s="18" t="s">
        <v>65</v>
      </c>
      <c r="E9" s="23">
        <f>_2025_PeakVolume/_2025_Capacity</f>
        <v>1.3721874999999999</v>
      </c>
      <c r="F9" s="28"/>
      <c r="H9" s="15">
        <f t="shared" si="3"/>
        <v>2023</v>
      </c>
      <c r="I9" s="97">
        <f t="shared" si="10"/>
        <v>8146.2479682858493</v>
      </c>
      <c r="J9" s="60">
        <f t="shared" si="4"/>
        <v>39712.958845393514</v>
      </c>
      <c r="K9" s="60">
        <f>IF(H9=Year_Open_to_Traffic?,Calculations!$E$4,K8+(K8*M9))</f>
        <v>39845.335374878159</v>
      </c>
      <c r="L9" s="60">
        <f>IF(AND(H9&gt;=Year_Open_to_Traffic?, Calculations!H9&lt;Year_Open_to_Traffic?+'Inputs &amp; Outputs'!B$21), 1, 0)</f>
        <v>1</v>
      </c>
      <c r="M9" s="81">
        <f t="shared" si="5"/>
        <v>3.8288164602770847E-2</v>
      </c>
      <c r="N9" s="87">
        <f t="shared" si="6"/>
        <v>1.2066727845187155</v>
      </c>
      <c r="O9" s="88">
        <f t="shared" si="7"/>
        <v>0</v>
      </c>
      <c r="P9" s="84">
        <f t="shared" si="8"/>
        <v>-132.37652948464529</v>
      </c>
      <c r="Q9" s="85">
        <f t="shared" si="0"/>
        <v>1</v>
      </c>
      <c r="R9" s="86">
        <f t="shared" si="1"/>
        <v>19.863344048684343</v>
      </c>
      <c r="S9" s="94">
        <f t="shared" si="2"/>
        <v>-3.6549223632827998</v>
      </c>
      <c r="T9" s="80">
        <f t="shared" si="9"/>
        <v>-2.6059091321064236</v>
      </c>
      <c r="W9" s="73"/>
    </row>
    <row r="10" spans="1:24" x14ac:dyDescent="0.25">
      <c r="D10" s="18" t="s">
        <v>82</v>
      </c>
      <c r="E10" s="23">
        <f>_2045_PeakVolume/_2045_Capacity</f>
        <v>1.84421875</v>
      </c>
      <c r="F10" s="28"/>
      <c r="H10" s="59">
        <f t="shared" si="3"/>
        <v>2024</v>
      </c>
      <c r="I10" s="97">
        <f t="shared" si="10"/>
        <v>8458.152851390565</v>
      </c>
      <c r="J10" s="60">
        <f t="shared" si="4"/>
        <v>41233.495150529008</v>
      </c>
      <c r="K10" s="60">
        <f>IF(H10=Year_Open_to_Traffic?,Calculations!$E$4,K9+(K9*M10))</f>
        <v>41370.9401343641</v>
      </c>
      <c r="L10" s="60">
        <f>IF(AND(H10&gt;=Year_Open_to_Traffic?, Calculations!H10&lt;Year_Open_to_Traffic?+'Inputs &amp; Outputs'!B$21), 1, 0)</f>
        <v>1</v>
      </c>
      <c r="M10" s="81">
        <f t="shared" si="5"/>
        <v>3.8288164602770847E-2</v>
      </c>
      <c r="N10" s="87">
        <f t="shared" si="6"/>
        <v>1.252874070714052</v>
      </c>
      <c r="O10" s="88">
        <f t="shared" si="7"/>
        <v>0</v>
      </c>
      <c r="P10" s="84">
        <f>(J10-K10)*L10</f>
        <v>-137.44498383509199</v>
      </c>
      <c r="Q10" s="85">
        <f t="shared" si="0"/>
        <v>1</v>
      </c>
      <c r="R10" s="86">
        <f t="shared" si="1"/>
        <v>20.320200961804083</v>
      </c>
      <c r="S10" s="94">
        <f t="shared" si="2"/>
        <v>-3.8821444728821661</v>
      </c>
      <c r="T10" s="80">
        <f t="shared" si="9"/>
        <v>-2.5868367812372854</v>
      </c>
      <c r="W10" s="73"/>
    </row>
    <row r="11" spans="1:24" ht="30" customHeight="1" x14ac:dyDescent="0.25">
      <c r="A11" s="153" t="s">
        <v>219</v>
      </c>
      <c r="B11" s="154"/>
      <c r="D11" s="18" t="s">
        <v>70</v>
      </c>
      <c r="E11" s="46">
        <f>(E9/E8)^(1/(2025-2018))-1</f>
        <v>3.8288164602770847E-2</v>
      </c>
      <c r="F11" s="28"/>
      <c r="H11" s="15">
        <f t="shared" si="3"/>
        <v>2025</v>
      </c>
      <c r="I11" s="97">
        <f t="shared" si="10"/>
        <v>8782.0000000000018</v>
      </c>
      <c r="J11" s="60">
        <f t="shared" si="4"/>
        <v>42812.250000000015</v>
      </c>
      <c r="K11" s="60">
        <f>IF(H11=Year_Open_to_Traffic?,Calculations!$E$4,K10+(K10*M11))</f>
        <v>42954.957500000011</v>
      </c>
      <c r="L11" s="60">
        <f>IF(AND(H11&gt;=Year_Open_to_Traffic?, Calculations!H11&lt;Year_Open_to_Traffic?+'Inputs &amp; Outputs'!B$21), 1, 0)</f>
        <v>1</v>
      </c>
      <c r="M11" s="81">
        <f t="shared" si="5"/>
        <v>3.8288164602770847E-2</v>
      </c>
      <c r="N11" s="87">
        <f t="shared" si="6"/>
        <v>1.3008443193600951</v>
      </c>
      <c r="O11" s="88">
        <f t="shared" si="7"/>
        <v>0</v>
      </c>
      <c r="P11" s="84">
        <f t="shared" si="8"/>
        <v>-142.7074999999968</v>
      </c>
      <c r="Q11" s="85">
        <f t="shared" si="0"/>
        <v>1</v>
      </c>
      <c r="R11" s="86">
        <f t="shared" si="1"/>
        <v>20.787565583925574</v>
      </c>
      <c r="S11" s="94">
        <f t="shared" si="2"/>
        <v>-4.1234927066395093</v>
      </c>
      <c r="T11" s="80">
        <f t="shared" si="9"/>
        <v>-2.5679040187227482</v>
      </c>
      <c r="W11" s="73"/>
    </row>
    <row r="12" spans="1:24" x14ac:dyDescent="0.25">
      <c r="A12" s="18" t="s">
        <v>205</v>
      </c>
      <c r="B12" s="19">
        <v>0.45</v>
      </c>
      <c r="D12" s="18" t="s">
        <v>83</v>
      </c>
      <c r="E12" s="46">
        <f>(E10/E9)^(1/(2045-2025))-1</f>
        <v>1.4892279423967869E-2</v>
      </c>
      <c r="F12" s="28"/>
      <c r="H12" s="59">
        <v>2026</v>
      </c>
      <c r="I12" s="97">
        <f t="shared" si="10"/>
        <v>8912.7839979012879</v>
      </c>
      <c r="J12" s="60">
        <f t="shared" si="4"/>
        <v>43449.821989768781</v>
      </c>
      <c r="K12" s="60">
        <f>IF(H12=Year_Open_to_Traffic?,Calculations!$E$4,K11+(K11*M12))</f>
        <v>43594.654729734677</v>
      </c>
      <c r="L12" s="60">
        <f>IF(AND(H12&gt;=Year_Open_to_Traffic?, Calculations!H12&lt;Year_Open_to_Traffic?+'Inputs &amp; Outputs'!B$21), 1, 0)</f>
        <v>1</v>
      </c>
      <c r="M12" s="81">
        <f t="shared" ref="M12:M36" si="11">IFERROR(_2025_2045_Demand_Growth,_2018_2045_Demand_Growth)</f>
        <v>1.4892279423967869E-2</v>
      </c>
      <c r="N12" s="87">
        <f t="shared" ref="N12:N36" si="12">N11*(1+IFERROR(_2025_2045_V_C_Growth,_2018_2045_V_C_Growth))</f>
        <v>1.320216856451087</v>
      </c>
      <c r="O12" s="88">
        <f t="shared" si="7"/>
        <v>0</v>
      </c>
      <c r="P12" s="84">
        <f t="shared" si="8"/>
        <v>-144.8327399658956</v>
      </c>
      <c r="Q12" s="85">
        <f t="shared" si="0"/>
        <v>1</v>
      </c>
      <c r="R12" s="86">
        <f t="shared" si="1"/>
        <v>21.265679592355859</v>
      </c>
      <c r="S12" s="94">
        <f t="shared" si="2"/>
        <v>-4.2811536332108426</v>
      </c>
      <c r="T12" s="80">
        <f t="shared" si="9"/>
        <v>-2.4916703925704033</v>
      </c>
      <c r="W12" s="73"/>
    </row>
    <row r="13" spans="1:24" x14ac:dyDescent="0.25">
      <c r="A13" s="18" t="s">
        <v>206</v>
      </c>
      <c r="B13" s="19">
        <v>0.43</v>
      </c>
      <c r="D13" s="18" t="s">
        <v>84</v>
      </c>
      <c r="E13" s="46">
        <f>(E10/E8)^(1/(2045-2018))-1</f>
        <v>2.0906773209257157E-2</v>
      </c>
      <c r="F13" s="28"/>
      <c r="H13" s="15">
        <f t="shared" si="3"/>
        <v>2027</v>
      </c>
      <c r="I13" s="97">
        <f t="shared" si="10"/>
        <v>9045.5156676435035</v>
      </c>
      <c r="J13" s="60">
        <f t="shared" si="4"/>
        <v>44096.888879762082</v>
      </c>
      <c r="K13" s="60">
        <f>IF(H13=Year_Open_to_Traffic?,Calculations!$E$4,K12+(K12*M13))</f>
        <v>44243.87850936129</v>
      </c>
      <c r="L13" s="60">
        <f>IF(AND(H13&gt;=Year_Open_to_Traffic?, Calculations!H13&lt;Year_Open_to_Traffic?+'Inputs &amp; Outputs'!B$21), 1, 0)</f>
        <v>1</v>
      </c>
      <c r="M13" s="81">
        <f t="shared" si="11"/>
        <v>1.4892279423967869E-2</v>
      </c>
      <c r="N13" s="87">
        <f t="shared" si="12"/>
        <v>1.3398778947775891</v>
      </c>
      <c r="O13" s="88">
        <f t="shared" si="7"/>
        <v>0</v>
      </c>
      <c r="P13" s="84">
        <f t="shared" si="8"/>
        <v>-146.98962959920755</v>
      </c>
      <c r="Q13" s="85">
        <f t="shared" si="0"/>
        <v>1</v>
      </c>
      <c r="R13" s="86">
        <f t="shared" si="1"/>
        <v>21.754790222980041</v>
      </c>
      <c r="S13" s="94">
        <f t="shared" si="2"/>
        <v>-4.4448426940691741</v>
      </c>
      <c r="T13" s="80">
        <f t="shared" si="9"/>
        <v>-2.417699921782853</v>
      </c>
      <c r="W13" s="73"/>
    </row>
    <row r="14" spans="1:24" x14ac:dyDescent="0.25">
      <c r="H14" s="59">
        <f>H13+1</f>
        <v>2028</v>
      </c>
      <c r="I14" s="97">
        <f t="shared" si="10"/>
        <v>9180.2240144999305</v>
      </c>
      <c r="J14" s="60">
        <f t="shared" si="4"/>
        <v>44753.592070687162</v>
      </c>
      <c r="K14" s="60">
        <f>IF(H14=Year_Open_to_Traffic?,Calculations!$E$4,K13+(K13*M14))</f>
        <v>44902.770710922785</v>
      </c>
      <c r="L14" s="60">
        <f>IF(AND(H14&gt;=Year_Open_to_Traffic?, Calculations!H14&lt;Year_Open_to_Traffic?+'Inputs &amp; Outputs'!B$21), 1, 0)</f>
        <v>1</v>
      </c>
      <c r="M14" s="81">
        <f t="shared" si="11"/>
        <v>1.4892279423967869E-2</v>
      </c>
      <c r="N14" s="87">
        <f t="shared" si="12"/>
        <v>1.3598317307806147</v>
      </c>
      <c r="O14" s="88">
        <f t="shared" si="7"/>
        <v>0</v>
      </c>
      <c r="P14" s="84">
        <f t="shared" si="8"/>
        <v>-149.17864023562288</v>
      </c>
      <c r="Q14" s="85">
        <f t="shared" si="0"/>
        <v>1</v>
      </c>
      <c r="R14" s="86">
        <f t="shared" si="1"/>
        <v>22.255150398108579</v>
      </c>
      <c r="S14" s="94">
        <f t="shared" si="2"/>
        <v>-4.6147903737344746</v>
      </c>
      <c r="T14" s="80">
        <f t="shared" si="9"/>
        <v>-2.3459254198380299</v>
      </c>
      <c r="W14" s="73"/>
    </row>
    <row r="15" spans="1:24" x14ac:dyDescent="0.25">
      <c r="H15" s="15">
        <f t="shared" si="3"/>
        <v>2029</v>
      </c>
      <c r="I15" s="97">
        <f t="shared" si="10"/>
        <v>9316.9384756984837</v>
      </c>
      <c r="J15" s="60">
        <f t="shared" si="4"/>
        <v>45420.075069030107</v>
      </c>
      <c r="K15" s="60">
        <f>IF(H15=Year_Open_to_Traffic?,Calculations!$E$4,K14+(K14*M15))</f>
        <v>45571.475319260207</v>
      </c>
      <c r="L15" s="60">
        <f>IF(AND(H15&gt;=Year_Open_to_Traffic?, Calculations!H15&lt;Year_Open_to_Traffic?+'Inputs &amp; Outputs'!B$21), 1, 0)</f>
        <v>1</v>
      </c>
      <c r="M15" s="81">
        <f t="shared" si="11"/>
        <v>1.4892279423967869E-2</v>
      </c>
      <c r="N15" s="87">
        <f t="shared" si="12"/>
        <v>1.3800827248849774</v>
      </c>
      <c r="O15" s="88">
        <f t="shared" si="7"/>
        <v>0</v>
      </c>
      <c r="P15" s="84">
        <f t="shared" si="8"/>
        <v>-151.40025023010094</v>
      </c>
      <c r="Q15" s="85">
        <f t="shared" si="0"/>
        <v>1</v>
      </c>
      <c r="R15" s="86">
        <f t="shared" si="1"/>
        <v>22.767018857265079</v>
      </c>
      <c r="S15" s="94">
        <f t="shared" si="2"/>
        <v>-4.7912359692568689</v>
      </c>
      <c r="T15" s="80">
        <f t="shared" si="9"/>
        <v>-2.276281694787035</v>
      </c>
      <c r="W15" s="73"/>
    </row>
    <row r="16" spans="1:24" x14ac:dyDescent="0.25">
      <c r="H16" s="59">
        <f t="shared" si="3"/>
        <v>2030</v>
      </c>
      <c r="I16" s="97">
        <f t="shared" si="10"/>
        <v>9455.6889268545019</v>
      </c>
      <c r="J16" s="60">
        <f t="shared" si="4"/>
        <v>46096.483518415698</v>
      </c>
      <c r="K16" s="60">
        <f>IF(H16=Year_Open_to_Traffic?,Calculations!$E$4,K15+(K15*M16))</f>
        <v>46250.138463477087</v>
      </c>
      <c r="L16" s="60">
        <f>IF(AND(H16&gt;=Year_Open_to_Traffic?, Calculations!H16&lt;Year_Open_to_Traffic?+'Inputs &amp; Outputs'!B$21), 1, 0)</f>
        <v>1</v>
      </c>
      <c r="M16" s="81">
        <f t="shared" si="11"/>
        <v>1.4892279423967869E-2</v>
      </c>
      <c r="N16" s="87">
        <f t="shared" si="12"/>
        <v>1.4006353024521554</v>
      </c>
      <c r="O16" s="88">
        <f t="shared" si="7"/>
        <v>0</v>
      </c>
      <c r="P16" s="84">
        <f t="shared" si="8"/>
        <v>-153.6549450613893</v>
      </c>
      <c r="Q16" s="85">
        <f t="shared" si="0"/>
        <v>1</v>
      </c>
      <c r="R16" s="86">
        <f t="shared" si="1"/>
        <v>23.290660290982171</v>
      </c>
      <c r="S16" s="94">
        <f t="shared" si="2"/>
        <v>-4.9744279271615426</v>
      </c>
      <c r="T16" s="80">
        <f t="shared" si="9"/>
        <v>-2.2087054900408263</v>
      </c>
      <c r="W16" s="73"/>
    </row>
    <row r="17" spans="1:23" x14ac:dyDescent="0.25">
      <c r="A17" s="29"/>
      <c r="H17" s="15">
        <f t="shared" si="3"/>
        <v>2031</v>
      </c>
      <c r="I17" s="97">
        <f t="shared" si="10"/>
        <v>9596.5056884993373</v>
      </c>
      <c r="J17" s="60">
        <f t="shared" si="4"/>
        <v>46782.965231434275</v>
      </c>
      <c r="K17" s="60">
        <f>IF(H17=Year_Open_to_Traffic?,Calculations!$E$4,K16+(K16*M17))</f>
        <v>46938.908448872389</v>
      </c>
      <c r="L17" s="60">
        <f>IF(AND(H17&gt;=Year_Open_to_Traffic?, Calculations!H17&lt;Year_Open_to_Traffic?+'Inputs &amp; Outputs'!B$21), 1, 0)</f>
        <v>1</v>
      </c>
      <c r="M17" s="81">
        <f t="shared" si="11"/>
        <v>1.4892279423967869E-2</v>
      </c>
      <c r="N17" s="87">
        <f t="shared" si="12"/>
        <v>1.4214939547473466</v>
      </c>
      <c r="O17" s="88">
        <f t="shared" si="7"/>
        <v>0</v>
      </c>
      <c r="P17" s="84">
        <f t="shared" si="8"/>
        <v>-155.94321743811452</v>
      </c>
      <c r="Q17" s="85">
        <f t="shared" si="0"/>
        <v>1</v>
      </c>
      <c r="R17" s="86">
        <f t="shared" si="1"/>
        <v>23.82634547767476</v>
      </c>
      <c r="S17" s="94">
        <f t="shared" si="2"/>
        <v>-5.1646241932771337</v>
      </c>
      <c r="T17" s="80">
        <f t="shared" si="9"/>
        <v>-2.1431354269150296</v>
      </c>
      <c r="W17" s="73"/>
    </row>
    <row r="18" spans="1:23" x14ac:dyDescent="0.25">
      <c r="H18" s="59">
        <f t="shared" si="3"/>
        <v>2032</v>
      </c>
      <c r="I18" s="97">
        <f t="shared" si="10"/>
        <v>9739.4195327061661</v>
      </c>
      <c r="J18" s="60">
        <f t="shared" si="4"/>
        <v>47479.670221942564</v>
      </c>
      <c r="K18" s="60">
        <f>IF(H18=Year_Open_to_Traffic?,Calculations!$E$4,K17+(K17*M18))</f>
        <v>47637.935789349045</v>
      </c>
      <c r="L18" s="60">
        <f>IF(AND(H18&gt;=Year_Open_to_Traffic?, Calculations!H18&lt;Year_Open_to_Traffic?+'Inputs &amp; Outputs'!B$21), 1, 0)</f>
        <v>1</v>
      </c>
      <c r="M18" s="81">
        <f t="shared" si="11"/>
        <v>1.4892279423967869E-2</v>
      </c>
      <c r="N18" s="87">
        <f t="shared" si="12"/>
        <v>1.4426632399209252</v>
      </c>
      <c r="O18" s="88">
        <f t="shared" si="7"/>
        <v>0</v>
      </c>
      <c r="P18" s="84">
        <f t="shared" si="8"/>
        <v>-158.26556740648084</v>
      </c>
      <c r="Q18" s="85">
        <f t="shared" si="0"/>
        <v>1</v>
      </c>
      <c r="R18" s="86">
        <f t="shared" si="1"/>
        <v>24.374351423661277</v>
      </c>
      <c r="S18" s="94">
        <f t="shared" si="2"/>
        <v>-5.3620925759406957</v>
      </c>
      <c r="T18" s="80">
        <f t="shared" si="9"/>
        <v>-2.0795119488808012</v>
      </c>
      <c r="W18" s="73"/>
    </row>
    <row r="19" spans="1:23" x14ac:dyDescent="0.25">
      <c r="H19" s="15">
        <f t="shared" si="3"/>
        <v>2033</v>
      </c>
      <c r="I19" s="97">
        <f t="shared" si="10"/>
        <v>9884.4616898144777</v>
      </c>
      <c r="J19" s="60">
        <f t="shared" si="4"/>
        <v>48186.750737845578</v>
      </c>
      <c r="K19" s="60">
        <f>IF(H19=Year_Open_to_Traffic?,Calculations!$E$4,K18+(K18*M19))</f>
        <v>48347.373240305067</v>
      </c>
      <c r="L19" s="60">
        <f>IF(AND(H19&gt;=Year_Open_to_Traffic?, Calculations!H19&lt;Year_Open_to_Traffic?+'Inputs &amp; Outputs'!B$21), 1, 0)</f>
        <v>1</v>
      </c>
      <c r="M19" s="81">
        <f t="shared" si="11"/>
        <v>1.4892279423967869E-2</v>
      </c>
      <c r="N19" s="87">
        <f t="shared" si="12"/>
        <v>1.4641477840045143</v>
      </c>
      <c r="O19" s="88">
        <f t="shared" si="7"/>
        <v>0</v>
      </c>
      <c r="P19" s="84">
        <f t="shared" si="8"/>
        <v>-160.62250245948962</v>
      </c>
      <c r="Q19" s="85">
        <f t="shared" si="0"/>
        <v>1</v>
      </c>
      <c r="R19" s="86">
        <f t="shared" si="1"/>
        <v>24.934961506405479</v>
      </c>
      <c r="S19" s="94">
        <f t="shared" si="2"/>
        <v>-5.567111123086951</v>
      </c>
      <c r="T19" s="80">
        <f t="shared" si="9"/>
        <v>-2.017777267469572</v>
      </c>
      <c r="W19" s="73"/>
    </row>
    <row r="20" spans="1:23" x14ac:dyDescent="0.25">
      <c r="H20" s="59">
        <f t="shared" si="3"/>
        <v>2034</v>
      </c>
      <c r="I20" s="97">
        <f t="shared" si="10"/>
        <v>10031.663855254701</v>
      </c>
      <c r="J20" s="60">
        <f t="shared" si="4"/>
        <v>48904.361294366667</v>
      </c>
      <c r="K20" s="60">
        <f>IF(H20=Year_Open_to_Traffic?,Calculations!$E$4,K19+(K19*M20))</f>
        <v>49067.375832014557</v>
      </c>
      <c r="L20" s="60">
        <f>IF(AND(H20&gt;=Year_Open_to_Traffic?, Calculations!H20&lt;Year_Open_to_Traffic?+'Inputs &amp; Outputs'!B$21), 1, 0)</f>
        <v>1</v>
      </c>
      <c r="M20" s="81">
        <f t="shared" si="11"/>
        <v>1.4892279423967869E-2</v>
      </c>
      <c r="N20" s="87">
        <f t="shared" si="12"/>
        <v>1.4859522819218929</v>
      </c>
      <c r="O20" s="88">
        <f t="shared" si="7"/>
        <v>0</v>
      </c>
      <c r="P20" s="84">
        <f t="shared" si="8"/>
        <v>-163.01453764789039</v>
      </c>
      <c r="Q20" s="85">
        <f t="shared" si="0"/>
        <v>1</v>
      </c>
      <c r="R20" s="86">
        <f t="shared" si="1"/>
        <v>25.508465621052807</v>
      </c>
      <c r="S20" s="94">
        <f t="shared" si="2"/>
        <v>-5.7799685137590124</v>
      </c>
      <c r="T20" s="80">
        <f t="shared" si="9"/>
        <v>-1.9578753097851587</v>
      </c>
      <c r="W20" s="73"/>
    </row>
    <row r="21" spans="1:23" x14ac:dyDescent="0.25">
      <c r="H21" s="15">
        <f t="shared" si="3"/>
        <v>2035</v>
      </c>
      <c r="I21" s="97">
        <f t="shared" si="10"/>
        <v>10181.058196474472</v>
      </c>
      <c r="J21" s="60">
        <f t="shared" si="4"/>
        <v>49632.658707813054</v>
      </c>
      <c r="K21" s="60">
        <f>IF(H21=Year_Open_to_Traffic?,Calculations!$E$4,K20+(K20*M21))</f>
        <v>49798.100903505765</v>
      </c>
      <c r="L21" s="60">
        <f>IF(AND(H21&gt;=Year_Open_to_Traffic?, Calculations!H21&lt;Year_Open_to_Traffic?+'Inputs &amp; Outputs'!B$21), 1, 0)</f>
        <v>1</v>
      </c>
      <c r="M21" s="81">
        <f t="shared" si="11"/>
        <v>1.4892279423967869E-2</v>
      </c>
      <c r="N21" s="87">
        <f t="shared" si="12"/>
        <v>1.5080814985149564</v>
      </c>
      <c r="O21" s="88">
        <f t="shared" si="7"/>
        <v>0</v>
      </c>
      <c r="P21" s="84">
        <f t="shared" si="8"/>
        <v>-165.44219569271081</v>
      </c>
      <c r="Q21" s="85">
        <f t="shared" si="0"/>
        <v>1</v>
      </c>
      <c r="R21" s="86">
        <f t="shared" si="1"/>
        <v>26.095160330337016</v>
      </c>
      <c r="S21" s="94">
        <f t="shared" si="2"/>
        <v>-6.0009644645859499</v>
      </c>
      <c r="T21" s="80">
        <f t="shared" si="9"/>
        <v>-1.8997516675730823</v>
      </c>
      <c r="W21" s="73"/>
    </row>
    <row r="22" spans="1:23" x14ac:dyDescent="0.25">
      <c r="H22" s="59">
        <f>H21+1</f>
        <v>2036</v>
      </c>
      <c r="I22" s="97">
        <f t="shared" si="10"/>
        <v>10332.677359968049</v>
      </c>
      <c r="J22" s="60">
        <f t="shared" si="4"/>
        <v>50371.80212984424</v>
      </c>
      <c r="K22" s="60">
        <f>IF(H22=Year_Open_to_Traffic?,Calculations!$E$4,K21+(K21*M22))</f>
        <v>50539.708136943722</v>
      </c>
      <c r="L22" s="60">
        <f>IF(AND(H22&gt;=Year_Open_to_Traffic?, Calculations!H22&lt;Year_Open_to_Traffic?+'Inputs &amp; Outputs'!B$21), 1, 0)</f>
        <v>1</v>
      </c>
      <c r="M22" s="81">
        <f t="shared" si="11"/>
        <v>1.4892279423967869E-2</v>
      </c>
      <c r="N22" s="87">
        <f t="shared" si="12"/>
        <v>1.5305402695849573</v>
      </c>
      <c r="O22" s="88">
        <f t="shared" si="7"/>
        <v>0</v>
      </c>
      <c r="P22" s="84">
        <f t="shared" si="8"/>
        <v>-167.90600709948194</v>
      </c>
      <c r="Q22" s="85">
        <f t="shared" si="0"/>
        <v>1</v>
      </c>
      <c r="R22" s="86">
        <f t="shared" si="1"/>
        <v>26.695349017934767</v>
      </c>
      <c r="S22" s="94">
        <f t="shared" si="2"/>
        <v>-6.2304101518026194</v>
      </c>
      <c r="T22" s="80">
        <f t="shared" si="9"/>
        <v>-1.8433535478021665</v>
      </c>
      <c r="W22" s="73"/>
    </row>
    <row r="23" spans="1:23" x14ac:dyDescent="0.25">
      <c r="H23" s="15">
        <f t="shared" si="3"/>
        <v>2037</v>
      </c>
      <c r="I23" s="97">
        <f t="shared" si="10"/>
        <v>10486.5544784104</v>
      </c>
      <c r="J23" s="60">
        <f t="shared" si="4"/>
        <v>51121.9530822507</v>
      </c>
      <c r="K23" s="60">
        <f>IF(H23=Year_Open_to_Traffic?,Calculations!$E$4,K22+(K22*M23))</f>
        <v>51292.359592524874</v>
      </c>
      <c r="L23" s="60">
        <f>IF(AND(H23&gt;=Year_Open_to_Traffic?, Calculations!H23&lt;Year_Open_to_Traffic?+'Inputs &amp; Outputs'!B$21), 1, 0)</f>
        <v>1</v>
      </c>
      <c r="M23" s="81">
        <f t="shared" si="11"/>
        <v>1.4892279423967869E-2</v>
      </c>
      <c r="N23" s="87">
        <f t="shared" si="12"/>
        <v>1.5533335029492517</v>
      </c>
      <c r="O23" s="88">
        <f t="shared" si="7"/>
        <v>0</v>
      </c>
      <c r="P23" s="84">
        <f t="shared" si="8"/>
        <v>-170.40651027417334</v>
      </c>
      <c r="Q23" s="85">
        <f t="shared" si="0"/>
        <v>1</v>
      </c>
      <c r="R23" s="86">
        <f t="shared" si="1"/>
        <v>27.309342045347261</v>
      </c>
      <c r="S23" s="94">
        <f t="shared" si="2"/>
        <v>-6.4686286494056215</v>
      </c>
      <c r="T23" s="80">
        <f t="shared" si="9"/>
        <v>-1.7886297247133065</v>
      </c>
      <c r="W23" s="73"/>
    </row>
    <row r="24" spans="1:23" x14ac:dyDescent="0.25">
      <c r="H24" s="59">
        <f t="shared" si="3"/>
        <v>2038</v>
      </c>
      <c r="I24" s="97">
        <f t="shared" si="10"/>
        <v>10642.723177897549</v>
      </c>
      <c r="J24" s="60">
        <f t="shared" si="4"/>
        <v>51883.275492250556</v>
      </c>
      <c r="K24" s="60">
        <f>IF(H24=Year_Open_to_Traffic?,Calculations!$E$4,K23+(K23*M24))</f>
        <v>52056.219743891394</v>
      </c>
      <c r="L24" s="60">
        <f>IF(AND(H24&gt;=Year_Open_to_Traffic?, Calculations!H24&lt;Year_Open_to_Traffic?+'Inputs &amp; Outputs'!B$21), 1, 0)</f>
        <v>1</v>
      </c>
      <c r="M24" s="81">
        <f t="shared" si="11"/>
        <v>1.4892279423967869E-2</v>
      </c>
      <c r="N24" s="87">
        <f t="shared" si="12"/>
        <v>1.5764661795137827</v>
      </c>
      <c r="O24" s="88">
        <f t="shared" si="7"/>
        <v>0</v>
      </c>
      <c r="P24" s="84">
        <f>(J24-K24)*L24</f>
        <v>-172.94425164083805</v>
      </c>
      <c r="Q24" s="85">
        <f t="shared" si="0"/>
        <v>1</v>
      </c>
      <c r="R24" s="86">
        <f t="shared" si="1"/>
        <v>27.93745691239025</v>
      </c>
      <c r="S24" s="94">
        <f t="shared" si="2"/>
        <v>-6.7159553840614699</v>
      </c>
      <c r="T24" s="80">
        <f t="shared" si="9"/>
        <v>-1.7355304932915976</v>
      </c>
      <c r="W24" s="73"/>
    </row>
    <row r="25" spans="1:23" x14ac:dyDescent="0.25">
      <c r="H25" s="15">
        <f t="shared" si="3"/>
        <v>2039</v>
      </c>
      <c r="I25" s="97">
        <f t="shared" si="10"/>
        <v>10801.217585294738</v>
      </c>
      <c r="J25" s="60">
        <f t="shared" si="4"/>
        <v>52655.935728311852</v>
      </c>
      <c r="K25" s="60">
        <f>IF(H25=Year_Open_to_Traffic?,Calculations!$E$4,K24+(K24*M25))</f>
        <v>52831.455514072899</v>
      </c>
      <c r="L25" s="60">
        <f>IF(AND(H25&gt;=Year_Open_to_Traffic?, Calculations!H25&lt;Year_Open_to_Traffic?+'Inputs &amp; Outputs'!B$21), 1, 0)</f>
        <v>1</v>
      </c>
      <c r="M25" s="81">
        <f t="shared" si="11"/>
        <v>1.4892279423967869E-2</v>
      </c>
      <c r="N25" s="87">
        <f t="shared" si="12"/>
        <v>1.5999433543615369</v>
      </c>
      <c r="O25" s="88">
        <f t="shared" si="7"/>
        <v>0</v>
      </c>
      <c r="P25" s="84">
        <f t="shared" si="8"/>
        <v>-175.51978576104739</v>
      </c>
      <c r="Q25" s="85">
        <f t="shared" si="0"/>
        <v>1</v>
      </c>
      <c r="R25" s="86">
        <f t="shared" si="1"/>
        <v>28.580018421375218</v>
      </c>
      <c r="S25" s="94">
        <f t="shared" si="2"/>
        <v>-6.9727386074095259</v>
      </c>
      <c r="T25" s="80">
        <f t="shared" si="9"/>
        <v>-1.6840076241201243</v>
      </c>
      <c r="W25" s="73"/>
    </row>
    <row r="26" spans="1:23" x14ac:dyDescent="0.25">
      <c r="H26" s="59">
        <f t="shared" si="3"/>
        <v>2040</v>
      </c>
      <c r="I26" s="97">
        <f t="shared" si="10"/>
        <v>10962.072335694023</v>
      </c>
      <c r="J26" s="60">
        <f t="shared" si="4"/>
        <v>53440.102636508367</v>
      </c>
      <c r="K26" s="60">
        <f>IF(H26=Year_Open_to_Traffic?,Calculations!$E$4,K25+(K25*M26))</f>
        <v>53618.236311963403</v>
      </c>
      <c r="L26" s="60">
        <f>IF(AND(H26&gt;=Year_Open_to_Traffic?, Calculations!H26&lt;Year_Open_to_Traffic?+'Inputs &amp; Outputs'!B$21), 1, 0)</f>
        <v>1</v>
      </c>
      <c r="M26" s="81">
        <f t="shared" si="11"/>
        <v>1.4892279423967869E-2</v>
      </c>
      <c r="N26" s="87">
        <f t="shared" si="12"/>
        <v>1.6237701578572092</v>
      </c>
      <c r="O26" s="88">
        <f t="shared" si="7"/>
        <v>0</v>
      </c>
      <c r="P26" s="84">
        <f t="shared" si="8"/>
        <v>-178.1336754550357</v>
      </c>
      <c r="Q26" s="85">
        <f t="shared" si="0"/>
        <v>1</v>
      </c>
      <c r="R26" s="86">
        <f t="shared" si="1"/>
        <v>29.237358845066851</v>
      </c>
      <c r="S26" s="94">
        <f t="shared" si="2"/>
        <v>-7.2393398864206819</v>
      </c>
      <c r="T26" s="80">
        <f t="shared" si="9"/>
        <v>-1.6340143195733234</v>
      </c>
      <c r="W26" s="73"/>
    </row>
    <row r="27" spans="1:23" x14ac:dyDescent="0.25">
      <c r="H27" s="15">
        <f t="shared" si="3"/>
        <v>2041</v>
      </c>
      <c r="I27" s="97">
        <f t="shared" si="10"/>
        <v>11125.322579982927</v>
      </c>
      <c r="J27" s="60">
        <f t="shared" si="4"/>
        <v>54235.947577416773</v>
      </c>
      <c r="K27" s="60">
        <f>IF(H27=Year_Open_to_Traffic?,Calculations!$E$4,K26+(K26*M27))</f>
        <v>54416.734069341503</v>
      </c>
      <c r="L27" s="60">
        <f>IF(AND(H27&gt;=Year_Open_to_Traffic?, Calculations!H27&lt;Year_Open_to_Traffic?+'Inputs &amp; Outputs'!B$21), 1, 0)</f>
        <v>1</v>
      </c>
      <c r="M27" s="81">
        <f t="shared" si="11"/>
        <v>1.4892279423967869E-2</v>
      </c>
      <c r="N27" s="87">
        <f t="shared" si="12"/>
        <v>1.6479517967683193</v>
      </c>
      <c r="O27" s="88">
        <f t="shared" si="7"/>
        <v>0</v>
      </c>
      <c r="P27" s="84">
        <f t="shared" si="8"/>
        <v>-180.78649192472949</v>
      </c>
      <c r="Q27" s="85">
        <f t="shared" si="0"/>
        <v>1</v>
      </c>
      <c r="R27" s="86">
        <f t="shared" si="1"/>
        <v>29.909818098503379</v>
      </c>
      <c r="S27" s="94">
        <f t="shared" si="2"/>
        <v>-7.5161346125079405</v>
      </c>
      <c r="T27" s="80">
        <f t="shared" si="9"/>
        <v>-1.5855051713116235</v>
      </c>
      <c r="W27" s="73"/>
    </row>
    <row r="28" spans="1:23" x14ac:dyDescent="0.25">
      <c r="H28" s="59">
        <f t="shared" si="3"/>
        <v>2042</v>
      </c>
      <c r="I28" s="97">
        <f t="shared" si="10"/>
        <v>11291.003992525812</v>
      </c>
      <c r="J28" s="60">
        <f t="shared" si="4"/>
        <v>55043.644463563338</v>
      </c>
      <c r="K28" s="60">
        <f>IF(H28=Year_Open_to_Traffic?,Calculations!$E$4,K27+(K27*M28))</f>
        <v>55227.12327844189</v>
      </c>
      <c r="L28" s="60">
        <f>IF(AND(H28&gt;=Year_Open_to_Traffic?, Calculations!H28&lt;Year_Open_to_Traffic?+'Inputs &amp; Outputs'!B$21), 1, 0)</f>
        <v>0</v>
      </c>
      <c r="M28" s="81">
        <f t="shared" si="11"/>
        <v>1.4892279423967869E-2</v>
      </c>
      <c r="N28" s="87">
        <f t="shared" si="12"/>
        <v>1.6724935554030229</v>
      </c>
      <c r="O28" s="88">
        <f t="shared" si="7"/>
        <v>0</v>
      </c>
      <c r="P28" s="84">
        <f t="shared" si="8"/>
        <v>0</v>
      </c>
      <c r="Q28" s="85">
        <f t="shared" si="0"/>
        <v>0</v>
      </c>
      <c r="R28" s="86">
        <f t="shared" si="1"/>
        <v>30.597743914768959</v>
      </c>
      <c r="S28" s="94">
        <f t="shared" si="2"/>
        <v>0</v>
      </c>
      <c r="T28" s="80">
        <f t="shared" si="9"/>
        <v>0</v>
      </c>
      <c r="W28" s="73"/>
    </row>
    <row r="29" spans="1:23" x14ac:dyDescent="0.25">
      <c r="H29" s="15">
        <f t="shared" si="3"/>
        <v>2043</v>
      </c>
      <c r="I29" s="97">
        <f t="shared" si="10"/>
        <v>11459.152778959642</v>
      </c>
      <c r="J29" s="60">
        <f t="shared" si="4"/>
        <v>55863.369797428262</v>
      </c>
      <c r="K29" s="60">
        <f>IF(H29=Year_Open_to_Traffic?,Calculations!$E$4,K28+(K28*M29))</f>
        <v>56049.581030086367</v>
      </c>
      <c r="L29" s="60">
        <f>IF(AND(H29&gt;=Year_Open_to_Traffic?, Calculations!H29&lt;Year_Open_to_Traffic?+'Inputs &amp; Outputs'!B$21), 1, 0)</f>
        <v>0</v>
      </c>
      <c r="M29" s="81">
        <f t="shared" si="11"/>
        <v>1.4892279423967869E-2</v>
      </c>
      <c r="N29" s="87">
        <f t="shared" si="12"/>
        <v>1.6974007967648703</v>
      </c>
      <c r="O29" s="88">
        <f t="shared" si="7"/>
        <v>0</v>
      </c>
      <c r="P29" s="84">
        <f t="shared" si="8"/>
        <v>0</v>
      </c>
      <c r="Q29" s="85">
        <f t="shared" si="0"/>
        <v>0</v>
      </c>
      <c r="R29" s="86">
        <f t="shared" si="1"/>
        <v>31.301492024808638</v>
      </c>
      <c r="S29" s="94">
        <f t="shared" si="2"/>
        <v>0</v>
      </c>
      <c r="T29" s="80">
        <f t="shared" si="9"/>
        <v>0</v>
      </c>
      <c r="W29" s="73"/>
    </row>
    <row r="30" spans="1:23" x14ac:dyDescent="0.25">
      <c r="H30" s="15">
        <f t="shared" si="3"/>
        <v>2044</v>
      </c>
      <c r="I30" s="97">
        <f t="shared" si="10"/>
        <v>11629.805684105848</v>
      </c>
      <c r="J30" s="60">
        <f t="shared" si="4"/>
        <v>56695.302710016011</v>
      </c>
      <c r="K30" s="60">
        <f>IF(H30=Year_Open_to_Traffic?,Calculations!$E$4,K29+(K29*M30))</f>
        <v>56884.287052382744</v>
      </c>
      <c r="L30" s="60">
        <f>IF(AND(H30&gt;=Year_Open_to_Traffic?, Calculations!H30&lt;Year_Open_to_Traffic?+'Inputs &amp; Outputs'!B$21), 1, 0)</f>
        <v>0</v>
      </c>
      <c r="M30" s="81">
        <f t="shared" si="11"/>
        <v>1.4892279423967869E-2</v>
      </c>
      <c r="N30" s="87">
        <f t="shared" si="12"/>
        <v>1.7226789637247584</v>
      </c>
      <c r="O30" s="88">
        <f t="shared" si="7"/>
        <v>0</v>
      </c>
      <c r="P30" s="84">
        <f t="shared" si="8"/>
        <v>0</v>
      </c>
      <c r="Q30" s="85">
        <f t="shared" si="0"/>
        <v>0</v>
      </c>
      <c r="R30" s="86">
        <f t="shared" si="1"/>
        <v>32.021426341379232</v>
      </c>
      <c r="S30" s="94">
        <f t="shared" si="2"/>
        <v>0</v>
      </c>
      <c r="T30" s="80">
        <f t="shared" si="9"/>
        <v>0</v>
      </c>
      <c r="W30" s="73"/>
    </row>
    <row r="31" spans="1:23" x14ac:dyDescent="0.25">
      <c r="H31" s="15">
        <f t="shared" si="3"/>
        <v>2045</v>
      </c>
      <c r="I31" s="97">
        <f t="shared" si="10"/>
        <v>11803.000000000002</v>
      </c>
      <c r="J31" s="60">
        <f t="shared" si="4"/>
        <v>57539.625000000015</v>
      </c>
      <c r="K31" s="60">
        <f>IF(H31=Year_Open_to_Traffic?,Calculations!$E$4,K30+(K30*M31))</f>
        <v>57731.423750000024</v>
      </c>
      <c r="L31" s="60">
        <f>IF(AND(H31&gt;=Year_Open_to_Traffic?, Calculations!H31&lt;Year_Open_to_Traffic?+'Inputs &amp; Outputs'!B$21), 1, 0)</f>
        <v>0</v>
      </c>
      <c r="M31" s="81">
        <f t="shared" si="11"/>
        <v>1.4892279423967869E-2</v>
      </c>
      <c r="N31" s="87">
        <f t="shared" si="12"/>
        <v>1.7483335802103388</v>
      </c>
      <c r="O31" s="88">
        <f t="shared" si="7"/>
        <v>0</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11978.773574041095</v>
      </c>
      <c r="J32" s="60">
        <f t="shared" si="4"/>
        <v>58396.521173450339</v>
      </c>
      <c r="K32" s="60">
        <f>IF(H32=Year_Open_to_Traffic?,Calculations!$E$4,K31+(K31*M32))</f>
        <v>58591.176244028517</v>
      </c>
      <c r="L32" s="60">
        <f>IF(AND(H32&gt;=Year_Open_to_Traffic?, Calculations!H32&lt;Year_Open_to_Traffic?+'Inputs &amp; Outputs'!B$21), 1, 0)</f>
        <v>0</v>
      </c>
      <c r="M32" s="81">
        <f t="shared" si="11"/>
        <v>1.4892279423967869E-2</v>
      </c>
      <c r="N32" s="87">
        <f t="shared" si="12"/>
        <v>1.7743702524131373</v>
      </c>
      <c r="O32" s="88">
        <f t="shared" si="7"/>
        <v>0</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12157.164817262157</v>
      </c>
      <c r="J33" s="60">
        <f t="shared" si="4"/>
        <v>59266.178484153017</v>
      </c>
      <c r="K33" s="60">
        <f>IF(H33=Year_Open_to_Traffic?,Calculations!$E$4,K32+(K32*M33))</f>
        <v>59463.732412433536</v>
      </c>
      <c r="L33" s="60">
        <f>IF(AND(H33&gt;=Year_Open_to_Traffic?, Calculations!H33&lt;Year_Open_to_Traffic?+'Inputs &amp; Outputs'!B$21), 1, 0)</f>
        <v>0</v>
      </c>
      <c r="M33" s="81">
        <f t="shared" si="11"/>
        <v>1.4892279423967869E-2</v>
      </c>
      <c r="N33" s="87">
        <f t="shared" si="12"/>
        <v>1.8007946700136501</v>
      </c>
      <c r="O33" s="88">
        <f t="shared" si="7"/>
        <v>0</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12338.212712724056</v>
      </c>
      <c r="J34" s="60">
        <f t="shared" si="4"/>
        <v>60148.786974529779</v>
      </c>
      <c r="K34" s="60">
        <f>IF(H34=Year_Open_to_Traffic?,Calculations!$E$4,K33+(K33*M34))</f>
        <v>60349.282931111549</v>
      </c>
      <c r="L34" s="60">
        <f>IF(AND(H34&gt;=Year_Open_to_Traffic?, Calculations!H34&lt;Year_Open_to_Traffic?+'Inputs &amp; Outputs'!B$21), 1, 0)</f>
        <v>0</v>
      </c>
      <c r="M34" s="81">
        <f t="shared" si="11"/>
        <v>1.4892279423967869E-2</v>
      </c>
      <c r="N34" s="87">
        <f t="shared" si="12"/>
        <v>1.8276126074246855</v>
      </c>
      <c r="O34" s="88">
        <f t="shared" si="7"/>
        <v>0</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12521.956824034296</v>
      </c>
      <c r="J35" s="60">
        <f t="shared" si="4"/>
        <v>61044.539517167199</v>
      </c>
      <c r="K35" s="60">
        <f>IF(H35=Year_Open_to_Traffic?,Calculations!$E$4,K34+(K34*M35))</f>
        <v>61248.021315557758</v>
      </c>
      <c r="L35" s="60">
        <f>IF(AND(H35&gt;=Year_Open_to_Traffic?, Calculations!H35&lt;Year_Open_to_Traffic?+'Inputs &amp; Outputs'!B$21), 1, 0)</f>
        <v>0</v>
      </c>
      <c r="M35" s="81">
        <f t="shared" si="11"/>
        <v>1.4892279423967869E-2</v>
      </c>
      <c r="N35" s="87">
        <f t="shared" si="12"/>
        <v>1.8548299250532203</v>
      </c>
      <c r="O35" s="88">
        <f t="shared" si="7"/>
        <v>0</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12708.437303992676</v>
      </c>
      <c r="J36" s="60">
        <f t="shared" si="4"/>
        <v>61953.631856964304</v>
      </c>
      <c r="K36" s="60">
        <f>IF(H36=Year_Open_to_Traffic?,Calculations!$E$4,K35+(K35*M36))</f>
        <v>62160.143963154187</v>
      </c>
      <c r="L36" s="60">
        <f>IF(AND(H36&gt;=Year_Open_to_Traffic?, Calculations!H36&lt;Year_Open_to_Traffic?+'Inputs &amp; Outputs'!B$21), 1, 0)</f>
        <v>0</v>
      </c>
      <c r="M36" s="81">
        <f t="shared" si="11"/>
        <v>1.4892279423967869E-2</v>
      </c>
      <c r="N36" s="87">
        <f t="shared" si="12"/>
        <v>1.8824525705810502</v>
      </c>
      <c r="O36" s="88">
        <f t="shared" si="7"/>
        <v>0</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-42.49514745301493</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Tiffany Johnson</cp:lastModifiedBy>
  <cp:lastPrinted>2018-07-16T14:36:56Z</cp:lastPrinted>
  <dcterms:created xsi:type="dcterms:W3CDTF">2012-07-25T15:48:32Z</dcterms:created>
  <dcterms:modified xsi:type="dcterms:W3CDTF">2018-10-31T20:41:26Z</dcterms:modified>
</cp:coreProperties>
</file>