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IH69\"/>
    </mc:Choice>
  </mc:AlternateContent>
  <bookViews>
    <workbookView xWindow="0" yWindow="0" windowWidth="28800" windowHeight="15225" tabRatio="763" firstSheet="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52511"/>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<sst xmlns="http://schemas.openxmlformats.org/spreadsheetml/2006/main" count="262" uniqueCount="130">
  <si>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</si>
  <si>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</si>
  <si>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</si>
  <si>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</si>
  <si>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</si>
  <si>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</si>
  <si>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</si>
  <si>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</si>
  <si>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</si>
  <si>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</si>
  <si>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</si>
  <si>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</si>
  <si>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</si>
  <si>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</si>
  <si>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</si>
  <si>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</si>
  <si>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</si>
  <si>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</si>
  <si>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</si>
  <si>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</si>
  <si>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</si>
  <si>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</si>
  <si>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</si>
  <si>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</si>
  <si>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</si>
  <si>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</si>
  <si>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</si>
  <si>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</si>
  <si>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</si>
  <si>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</si>
  <si>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</si>
  <si>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</si>
  <si>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</si>
  <si>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</si>
  <si>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</si>
  <si>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</si>
  <si>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</si>
  <si>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</si>
  <si>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</si>
  <si>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</si>
  <si>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</si>
  <si>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</si>
  <si>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</si>
  <si>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</si>
  <si>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</si>
  <si>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</si>
  <si>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</si>
  <si>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</si>
  <si>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</si>
  <si>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</si>
  <si>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</si>
  <si>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</si>
  <si>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</si>
  <si>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</si>
  <si>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</si>
  <si>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</si>
  <si>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</si>
  <si>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</si>
  <si>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</si>
  <si>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</si>
  <si>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</si>
  <si>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</si>
  <si>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</si>
  <si>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</si>
  <si>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</si>
  <si>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</si>
  <si>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</si>
  <si>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</si>
  <si>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</si>
  <si>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</si>
  <si>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</si>
  <si>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</si>
  <si>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</si>
  <si>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</si>
  <si>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</si>
  <si>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</si>
  <si>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</si>
  <si>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</si>
  <si>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</si>
  <si>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</si>
  <si>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</si>
  <si>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</si>
  <si>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</si>
  <si>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</si>
  <si>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</si>
  <si>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</si>
  <si>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</si>
  <si>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</si>
  <si>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</si>
  <si>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</si>
  <si>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</si>
  <si>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</si>
  <si>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</si>
  <si>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</si>
  <si>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</si>
  <si>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</si>
  <si>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</si>
  <si>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</si>
  <si>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</si>
  <si>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</si>
  <si>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</si>
  <si>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</si>
  <si>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</si>
  <si>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</si>
  <si>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</si>
  <si>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</si>
  <si>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</si>
  <si>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</si>
  <si>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</si>
  <si>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</si>
  <si>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</si>
  <si>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</si>
  <si>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</si>
  <si>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</si>
  <si>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</si>
  <si>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</si>
  <si>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</si>
  <si>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</si>
  <si>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</si>
  <si>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</si>
  <si>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</si>
  <si>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</si>
  <si>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</si>
  <si>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</si>
  <si>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</si>
  <si>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</si>
  <si>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</si>
  <si>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</si>
  <si>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</si>
  <si>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IH69 Active Traffic Management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</si>
</sst>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topLeftCell="A7" zoomScaleNormal="100" workbookViewId="0">
      <selection activeCell="F22" sqref="F22"/>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v>160</v>
      </c>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2028</v>
      </c>
    </row>
    <row r="14" spans="1:5" x14ac:dyDescent="0.25">
      <c r="A14" s="6" t="s">
        <v>86</v>
      </c>
      <c r="B14" s="6" t="s">
        <v>123</v>
      </c>
    </row>
    <row r="15" spans="1:5" x14ac:dyDescent="0.25">
      <c r="A15" s="106" t="s">
        <v>87</v>
      </c>
      <c r="B15" s="57" t="s">
        <v>77</v>
      </c>
    </row>
    <row r="16" spans="1:5" x14ac:dyDescent="0.25">
      <c r="A16" s="106" t="s">
        <v>88</v>
      </c>
      <c r="B16" s="57">
        <v>12</v>
      </c>
    </row>
    <row r="17" spans="1:3" x14ac:dyDescent="0.25">
      <c r="A17" s="107" t="s">
        <v>95</v>
      </c>
      <c r="B17" s="57">
        <v>23</v>
      </c>
    </row>
    <row r="18" spans="1:3" x14ac:dyDescent="0.25">
      <c r="A18" s="107" t="s">
        <v>96</v>
      </c>
      <c r="B18" s="57">
        <v>30</v>
      </c>
    </row>
    <row r="19" spans="1:3" x14ac:dyDescent="0.25">
      <c r="A19" s="96" t="s">
        <v>97</v>
      </c>
      <c r="B19" s="97">
        <f>VLOOKUP(B14,'Service Life'!C6:D8,2,FALSE)</f>
        <v>12</v>
      </c>
    </row>
    <row r="21" spans="1:3" x14ac:dyDescent="0.25">
      <c r="A21" s="102" t="s">
        <v>89</v>
      </c>
    </row>
    <row r="22" spans="1:3" ht="20.25" customHeight="1" x14ac:dyDescent="0.25">
      <c r="A22" s="107" t="s">
        <v>90</v>
      </c>
      <c r="B22" s="119">
        <v>249014</v>
      </c>
    </row>
    <row r="23" spans="1:3" ht="30" x14ac:dyDescent="0.25">
      <c r="A23" s="118" t="s">
        <v>101</v>
      </c>
      <c r="B23" s="120">
        <v>270174</v>
      </c>
    </row>
    <row r="24" spans="1:3" ht="30" x14ac:dyDescent="0.25">
      <c r="A24" s="118" t="s">
        <v>102</v>
      </c>
      <c r="B24" s="120">
        <v>306777</v>
      </c>
    </row>
    <row r="27" spans="1:3" ht="18.75" x14ac:dyDescent="0.3">
      <c r="A27" s="100" t="s">
        <v>55</v>
      </c>
      <c r="B27" s="101"/>
    </row>
    <row r="29" spans="1:3" x14ac:dyDescent="0.25">
      <c r="A29" s="108" t="s">
        <v>53</v>
      </c>
    </row>
    <row r="30" spans="1:3" x14ac:dyDescent="0.25">
      <c r="A30" s="105" t="s">
        <v>112</v>
      </c>
      <c r="B30" s="114">
        <f>'Benefit Calculations'!M37</f>
        <v>-21338.392235428943</v>
      </c>
    </row>
    <row r="31" spans="1:3" x14ac:dyDescent="0.25">
      <c r="A31" s="105" t="s">
        <v>113</v>
      </c>
      <c r="B31" s="114">
        <f>'Benefit Calculations'!Q37</f>
        <v>6075.9333883738618</v>
      </c>
      <c r="C31" s="109"/>
    </row>
    <row r="32" spans="1:3" x14ac:dyDescent="0.25">
      <c r="A32" s="110"/>
      <c r="B32" s="111"/>
      <c r="C32" s="109"/>
    </row>
    <row r="33" spans="1:9" x14ac:dyDescent="0.25">
      <c r="A33" s="108" t="s">
        <v>94</v>
      </c>
      <c r="B33" s="111"/>
      <c r="C33" s="109"/>
    </row>
    <row r="34" spans="1:9" x14ac:dyDescent="0.25">
      <c r="A34" s="105" t="s">
        <v>114</v>
      </c>
      <c r="B34" s="114">
        <f>$B$30+$B$31</f>
        <v>-15262.458847055081</v>
      </c>
      <c r="C34" s="109"/>
    </row>
    <row r="35" spans="1:9" x14ac:dyDescent="0.25">
      <c r="I35" s="112"/>
    </row>
    <row r="36" spans="1:9" x14ac:dyDescent="0.25">
      <c r="A36" s="108" t="s">
        <v>107</v>
      </c>
    </row>
    <row r="37" spans="1:9" x14ac:dyDescent="0.25">
      <c r="A37" s="105" t="s">
        <v>116</v>
      </c>
      <c r="B37" s="115">
        <f>'Benefit Calculations'!K37</f>
        <v>-7.9262451944850865</v>
      </c>
    </row>
    <row r="38" spans="1:9" x14ac:dyDescent="0.25">
      <c r="A38" s="105" t="s">
        <v>117</v>
      </c>
      <c r="B38" s="115">
        <f>'Benefit Calculations'!O37</f>
        <v>8.895043921550883</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topLeftCell="A16" zoomScaleNormal="100" workbookViewId="0">
      <selection activeCell="D9" sqref="D9"/>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5.11665008962E-2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1.24212000519E-2</v>
      </c>
      <c r="F4" s="70">
        <v>2018</v>
      </c>
      <c r="G4" s="80">
        <f>'Inputs &amp; Outputs'!B22</f>
        <v>249014</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5.1847200840699999E-2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1.1657300405199999E-2</v>
      </c>
      <c r="F5" s="70">
        <f t="shared" ref="F5:F36" si="2">F4+1</f>
        <v>2019</v>
      </c>
      <c r="G5" s="80">
        <f>G4+G4*H5</f>
        <v>251932.23198575104</v>
      </c>
      <c r="H5" s="79">
        <f>$C$9</f>
        <v>1.1719148263756418E-2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254884.66316481115</v>
      </c>
      <c r="H6" s="79">
        <f t="shared" ref="H6:H11" si="7">$C$9</f>
        <v>1.1719148263756418E-2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257871.69432259718</v>
      </c>
      <c r="H7" s="79">
        <f t="shared" si="7"/>
        <v>1.1719148263756418E-2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260893.73094138977</v>
      </c>
      <c r="H8" s="79">
        <f t="shared" si="7"/>
        <v>1.1719148263756418E-2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1.1719148263756418E-2</v>
      </c>
      <c r="F9" s="70">
        <f t="shared" si="2"/>
        <v>2023</v>
      </c>
      <c r="G9" s="80">
        <f t="shared" si="6"/>
        <v>263951.18325537647</v>
      </c>
      <c r="H9" s="79">
        <f t="shared" si="7"/>
        <v>1.1719148263756418E-2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5.0951324003658538E-3</v>
      </c>
      <c r="F10" s="70">
        <f t="shared" si="2"/>
        <v>2024</v>
      </c>
      <c r="G10" s="80">
        <f t="shared" si="6"/>
        <v>267044.46630634018</v>
      </c>
      <c r="H10" s="79">
        <f t="shared" si="7"/>
        <v>1.1719148263756418E-2</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7.7562950265173125E-3</v>
      </c>
      <c r="F11" s="70">
        <f t="shared" si="2"/>
        <v>2025</v>
      </c>
      <c r="G11" s="80">
        <f>'Inputs &amp; Outputs'!$B$23</f>
        <v>270174</v>
      </c>
      <c r="H11" s="79">
        <f t="shared" si="7"/>
        <v>1.1719148263756418E-2</v>
      </c>
      <c r="I11" s="70">
        <f>IF(AND(F11&gt;='Inputs &amp; Outputs'!B$13,F11&lt;'Inputs &amp; Outputs'!B$13+'Inputs &amp; Outputs'!B$19),1,0)</f>
        <v>0</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25">
      <c r="B12" s="27"/>
      <c r="C12" s="68"/>
      <c r="F12" s="70">
        <f t="shared" si="2"/>
        <v>2026</v>
      </c>
      <c r="G12" s="80">
        <f t="shared" si="6"/>
        <v>271550.57230113645</v>
      </c>
      <c r="H12" s="79">
        <f>$C$10</f>
        <v>5.0951324003658538E-3</v>
      </c>
      <c r="I12" s="70">
        <f>IF(AND(F12&gt;='Inputs &amp; Outputs'!B$13,F12&lt;'Inputs &amp; Outputs'!B$13+'Inputs &amp; Outputs'!B$19),1,0)</f>
        <v>0</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T12" s="85">
        <f t="shared" si="5"/>
        <v>0</v>
      </c>
      <c r="U12" s="86">
        <f>T12*'Assumed Values'!$D$8</f>
        <v>0</v>
      </c>
    </row>
    <row r="13" spans="2:21" x14ac:dyDescent="0.25">
      <c r="B13" s="27"/>
      <c r="C13" s="68"/>
      <c r="F13" s="70">
        <f t="shared" si="2"/>
        <v>2027</v>
      </c>
      <c r="G13" s="80">
        <f t="shared" si="6"/>
        <v>272934.15842040587</v>
      </c>
      <c r="H13" s="79">
        <f t="shared" ref="H13:H36" si="8">$C$10</f>
        <v>5.0951324003658538E-3</v>
      </c>
      <c r="I13" s="70">
        <f>IF(AND(F13&gt;='Inputs &amp; Outputs'!B$13,F13&lt;'Inputs &amp; Outputs'!B$13+'Inputs &amp; Outputs'!B$19),1,0)</f>
        <v>0</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T13" s="85">
        <f t="shared" si="5"/>
        <v>0</v>
      </c>
      <c r="U13" s="86">
        <f>T13*'Assumed Values'!$D$8</f>
        <v>0</v>
      </c>
    </row>
    <row r="14" spans="2:21" x14ac:dyDescent="0.25">
      <c r="B14" s="27"/>
      <c r="C14" s="68"/>
      <c r="F14" s="70">
        <f t="shared" si="2"/>
        <v>2028</v>
      </c>
      <c r="G14" s="80">
        <f t="shared" si="6"/>
        <v>274324.79409414029</v>
      </c>
      <c r="H14" s="79">
        <f t="shared" si="8"/>
        <v>5.0951324003658538E-3</v>
      </c>
      <c r="I14" s="70">
        <f>IF(AND(F14&gt;='Inputs &amp; Outputs'!B$13,F14&lt;'Inputs &amp; Outputs'!B$13+'Inputs &amp; Outputs'!B$19),1,0)</f>
        <v>1</v>
      </c>
      <c r="J14" s="71">
        <f>I14*'Inputs &amp; Outputs'!B$16*'Benefit Calculations'!G14*('Benefit Calculations'!C$4-'Benefit Calculations'!C$5)</f>
        <v>-2240.7944653782592</v>
      </c>
      <c r="K14" s="89">
        <f t="shared" si="3"/>
        <v>-0.6422143258681231</v>
      </c>
      <c r="L14" s="72">
        <f>K14*'Assumed Values'!$C$8</f>
        <v>-4821.7451586178686</v>
      </c>
      <c r="M14" s="73">
        <f t="shared" si="0"/>
        <v>-2451.1307382373961</v>
      </c>
      <c r="N14" s="88">
        <f>I14*'Inputs &amp; Outputs'!B$16*'Benefit Calculations'!G14*('Benefit Calculations'!D$4-'Benefit Calculations'!D$5)</f>
        <v>2514.6793594747714</v>
      </c>
      <c r="O14" s="89">
        <f t="shared" si="4"/>
        <v>0.72071005822792356</v>
      </c>
      <c r="P14" s="72">
        <f>ABS(O14*'Assumed Values'!$C$7)</f>
        <v>1372.9526609241943</v>
      </c>
      <c r="Q14" s="73">
        <f t="shared" si="1"/>
        <v>697.93951331529138</v>
      </c>
      <c r="T14" s="85">
        <f t="shared" si="5"/>
        <v>-0.5826065609983474</v>
      </c>
      <c r="U14" s="86">
        <f>T14*'Assumed Values'!$D$8</f>
        <v>0</v>
      </c>
    </row>
    <row r="15" spans="2:21" x14ac:dyDescent="0.25">
      <c r="B15" s="27"/>
      <c r="C15" s="69"/>
      <c r="F15" s="70">
        <f t="shared" si="2"/>
        <v>2029</v>
      </c>
      <c r="G15" s="80">
        <f t="shared" si="6"/>
        <v>275722.51524075301</v>
      </c>
      <c r="H15" s="79">
        <f t="shared" si="8"/>
        <v>5.0951324003658538E-3</v>
      </c>
      <c r="I15" s="70">
        <f>IF(AND(F15&gt;='Inputs &amp; Outputs'!B$13,F15&lt;'Inputs &amp; Outputs'!B$13+'Inputs &amp; Outputs'!B$19),1,0)</f>
        <v>1</v>
      </c>
      <c r="J15" s="71">
        <f>I15*'Inputs &amp; Outputs'!B$16*'Benefit Calculations'!G15*('Benefit Calculations'!C$4-'Benefit Calculations'!C$5)</f>
        <v>-2252.2116098613678</v>
      </c>
      <c r="K15" s="89">
        <f t="shared" si="3"/>
        <v>-0.64548649288783266</v>
      </c>
      <c r="L15" s="72">
        <f>K15*'Assumed Values'!$C$8</f>
        <v>-4846.3125886018479</v>
      </c>
      <c r="M15" s="73">
        <f t="shared" si="0"/>
        <v>-2302.4481998872157</v>
      </c>
      <c r="N15" s="88">
        <f>I15*'Inputs &amp; Outputs'!B$16*'Benefit Calculations'!G15*('Benefit Calculations'!D$4-'Benefit Calculations'!D$5)</f>
        <v>2527.4919837557622</v>
      </c>
      <c r="O15" s="89">
        <f t="shared" si="4"/>
        <v>0.72438217139687</v>
      </c>
      <c r="P15" s="72">
        <f>ABS(O15*'Assumed Values'!$C$7)</f>
        <v>1379.9480365110373</v>
      </c>
      <c r="Q15" s="73">
        <f t="shared" si="1"/>
        <v>655.60337153558828</v>
      </c>
      <c r="T15" s="85">
        <f t="shared" si="5"/>
        <v>-0.58557501856395566</v>
      </c>
      <c r="U15" s="86">
        <f>T15*'Assumed Values'!$D$8</f>
        <v>0</v>
      </c>
    </row>
    <row r="16" spans="2:21" x14ac:dyDescent="0.25">
      <c r="B16" s="27"/>
      <c r="C16" s="69"/>
      <c r="F16" s="70">
        <f t="shared" si="2"/>
        <v>2030</v>
      </c>
      <c r="G16" s="80">
        <f t="shared" si="6"/>
        <v>277127.35796166654</v>
      </c>
      <c r="H16" s="79">
        <f t="shared" si="8"/>
        <v>5.0951324003658538E-3</v>
      </c>
      <c r="I16" s="70">
        <f>IF(AND(F16&gt;='Inputs &amp; Outputs'!B$13,F16&lt;'Inputs &amp; Outputs'!B$13+'Inputs &amp; Outputs'!B$19),1,0)</f>
        <v>1</v>
      </c>
      <c r="J16" s="71">
        <f>I16*'Inputs &amp; Outputs'!B$16*'Benefit Calculations'!G16*('Benefit Calculations'!C$4-'Benefit Calculations'!C$5)</f>
        <v>-2263.6869262072528</v>
      </c>
      <c r="K16" s="89">
        <f t="shared" si="3"/>
        <v>-0.64877533203174409</v>
      </c>
      <c r="L16" s="72">
        <f>K16*'Assumed Values'!$C$8</f>
        <v>-4871.0051928943349</v>
      </c>
      <c r="M16" s="73">
        <f t="shared" si="0"/>
        <v>-2162.7845591688092</v>
      </c>
      <c r="N16" s="88">
        <f>I16*'Inputs &amp; Outputs'!B$16*'Benefit Calculations'!G16*('Benefit Calculations'!D$4-'Benefit Calculations'!D$5)</f>
        <v>2540.3698900538616</v>
      </c>
      <c r="O16" s="89">
        <f t="shared" si="4"/>
        <v>0.72807299446860174</v>
      </c>
      <c r="P16" s="72">
        <f>ABS(O16*'Assumed Values'!$C$7)</f>
        <v>1386.9790544626862</v>
      </c>
      <c r="Q16" s="73">
        <f t="shared" si="1"/>
        <v>615.83528739783981</v>
      </c>
      <c r="T16" s="85">
        <f t="shared" si="5"/>
        <v>-0.58855860081388567</v>
      </c>
      <c r="U16" s="86">
        <f>T16*'Assumed Values'!$D$8</f>
        <v>0</v>
      </c>
    </row>
    <row r="17" spans="2:21" x14ac:dyDescent="0.25">
      <c r="B17" s="27"/>
      <c r="C17" s="69"/>
      <c r="F17" s="70">
        <f t="shared" si="2"/>
        <v>2031</v>
      </c>
      <c r="G17" s="80">
        <f t="shared" si="6"/>
        <v>278539.35854224482</v>
      </c>
      <c r="H17" s="79">
        <f t="shared" si="8"/>
        <v>5.0951324003658538E-3</v>
      </c>
      <c r="I17" s="70">
        <f>IF(AND(F17&gt;='Inputs &amp; Outputs'!B$13,F17&lt;'Inputs &amp; Outputs'!B$13+'Inputs &amp; Outputs'!B$19),1,0)</f>
        <v>1</v>
      </c>
      <c r="J17" s="71">
        <f>I17*'Inputs &amp; Outputs'!B$16*'Benefit Calculations'!G17*('Benefit Calculations'!C$4-'Benefit Calculations'!C$5)</f>
        <v>-2275.2207108092562</v>
      </c>
      <c r="K17" s="89">
        <f t="shared" si="3"/>
        <v>-0.65208092824653718</v>
      </c>
      <c r="L17" s="72">
        <f>K17*'Assumed Values'!$C$8</f>
        <v>-4895.8236092750012</v>
      </c>
      <c r="M17" s="73">
        <f t="shared" si="0"/>
        <v>-2031.5927409824683</v>
      </c>
      <c r="N17" s="88">
        <f>I17*'Inputs &amp; Outputs'!B$16*'Benefit Calculations'!G17*('Benefit Calculations'!D$4-'Benefit Calculations'!D$5)</f>
        <v>2553.3134109895886</v>
      </c>
      <c r="O17" s="89">
        <f t="shared" si="4"/>
        <v>0.73178262277255002</v>
      </c>
      <c r="P17" s="72">
        <f>ABS(O17*'Assumed Values'!$C$7)</f>
        <v>1394.0458963817077</v>
      </c>
      <c r="Q17" s="73">
        <f t="shared" si="1"/>
        <v>578.47948572331688</v>
      </c>
      <c r="T17" s="85">
        <f t="shared" si="5"/>
        <v>-0.59155738481040665</v>
      </c>
      <c r="U17" s="86">
        <f>T17*'Assumed Values'!$D$8</f>
        <v>0</v>
      </c>
    </row>
    <row r="18" spans="2:21" x14ac:dyDescent="0.25">
      <c r="F18" s="70">
        <f t="shared" si="2"/>
        <v>2032</v>
      </c>
      <c r="G18" s="80">
        <f t="shared" si="6"/>
        <v>279958.55345273053</v>
      </c>
      <c r="H18" s="79">
        <f t="shared" si="8"/>
        <v>5.0951324003658538E-3</v>
      </c>
      <c r="I18" s="70">
        <f>IF(AND(F18&gt;='Inputs &amp; Outputs'!B$13,F18&lt;'Inputs &amp; Outputs'!B$13+'Inputs &amp; Outputs'!B$19),1,0)</f>
        <v>1</v>
      </c>
      <c r="J18" s="71">
        <f>I18*'Inputs &amp; Outputs'!B$16*'Benefit Calculations'!G18*('Benefit Calculations'!C$4-'Benefit Calculations'!C$5)</f>
        <v>-2286.8132615708837</v>
      </c>
      <c r="K18" s="89">
        <f t="shared" si="3"/>
        <v>-0.65540336691170675</v>
      </c>
      <c r="L18" s="72">
        <f>K18*'Assumed Values'!$C$8</f>
        <v>-4920.7684787730941</v>
      </c>
      <c r="M18" s="73">
        <f t="shared" si="0"/>
        <v>-1908.3588551228002</v>
      </c>
      <c r="N18" s="88">
        <f>I18*'Inputs &amp; Outputs'!B$16*'Benefit Calculations'!G18*('Benefit Calculations'!D$4-'Benefit Calculations'!D$5)</f>
        <v>2566.3228808782105</v>
      </c>
      <c r="O18" s="89">
        <f t="shared" si="4"/>
        <v>0.73551115212386331</v>
      </c>
      <c r="P18" s="72">
        <f>ABS(O18*'Assumed Values'!$C$7)</f>
        <v>1401.1487447959596</v>
      </c>
      <c r="Q18" s="73">
        <f t="shared" si="1"/>
        <v>543.38964046165688</v>
      </c>
      <c r="T18" s="85">
        <f t="shared" si="5"/>
        <v>-0.59457144800842976</v>
      </c>
      <c r="U18" s="86">
        <f>T18*'Assumed Values'!$D$8</f>
        <v>0</v>
      </c>
    </row>
    <row r="19" spans="2:21" x14ac:dyDescent="0.25">
      <c r="F19" s="70">
        <f t="shared" si="2"/>
        <v>2033</v>
      </c>
      <c r="G19" s="80">
        <f t="shared" si="6"/>
        <v>281384.97934918711</v>
      </c>
      <c r="H19" s="79">
        <f t="shared" si="8"/>
        <v>5.0951324003658538E-3</v>
      </c>
      <c r="I19" s="70">
        <f>IF(AND(F19&gt;='Inputs &amp; Outputs'!B$13,F19&lt;'Inputs &amp; Outputs'!B$13+'Inputs &amp; Outputs'!B$19),1,0)</f>
        <v>1</v>
      </c>
      <c r="J19" s="71">
        <f>I19*'Inputs &amp; Outputs'!B$16*'Benefit Calculations'!G19*('Benefit Calculations'!C$4-'Benefit Calculations'!C$5)</f>
        <v>-2298.4648779135</v>
      </c>
      <c r="K19" s="89">
        <f t="shared" si="3"/>
        <v>-0.6587427338417674</v>
      </c>
      <c r="L19" s="72">
        <f>K19*'Assumed Values'!$C$8</f>
        <v>-4945.8404456839899</v>
      </c>
      <c r="M19" s="73">
        <f t="shared" si="0"/>
        <v>-1792.6001833243563</v>
      </c>
      <c r="N19" s="88">
        <f>I19*'Inputs &amp; Outputs'!B$16*'Benefit Calculations'!G19*('Benefit Calculations'!D$4-'Benefit Calculations'!D$5)</f>
        <v>2579.3986357383733</v>
      </c>
      <c r="O19" s="89">
        <f t="shared" si="4"/>
        <v>0.73925867882587992</v>
      </c>
      <c r="P19" s="72">
        <f>ABS(O19*'Assumed Values'!$C$7)</f>
        <v>1408.2877831633014</v>
      </c>
      <c r="Q19" s="73">
        <f t="shared" si="1"/>
        <v>510.42830151850109</v>
      </c>
      <c r="T19" s="85">
        <f t="shared" si="5"/>
        <v>-0.59760086825751002</v>
      </c>
      <c r="U19" s="86">
        <f>T19*'Assumed Values'!$D$8</f>
        <v>0</v>
      </c>
    </row>
    <row r="20" spans="2:21" x14ac:dyDescent="0.25">
      <c r="F20" s="70">
        <f t="shared" si="2"/>
        <v>2034</v>
      </c>
      <c r="G20" s="80">
        <f t="shared" si="6"/>
        <v>282818.67307444545</v>
      </c>
      <c r="H20" s="79">
        <f t="shared" si="8"/>
        <v>5.0951324003658538E-3</v>
      </c>
      <c r="I20" s="70">
        <f>IF(AND(F20&gt;='Inputs &amp; Outputs'!B$13,F20&lt;'Inputs &amp; Outputs'!B$13+'Inputs &amp; Outputs'!B$19),1,0)</f>
        <v>1</v>
      </c>
      <c r="J20" s="71">
        <f>I20*'Inputs &amp; Outputs'!B$16*'Benefit Calculations'!G20*('Benefit Calculations'!C$4-'Benefit Calculations'!C$5)</f>
        <v>-2310.1758607840602</v>
      </c>
      <c r="K20" s="89">
        <f t="shared" si="3"/>
        <v>-0.66209911528847032</v>
      </c>
      <c r="L20" s="72">
        <f>K20*'Assumed Values'!$C$8</f>
        <v>-4971.040157585835</v>
      </c>
      <c r="M20" s="73">
        <f t="shared" si="0"/>
        <v>-1683.8632884105743</v>
      </c>
      <c r="N20" s="88">
        <f>I20*'Inputs &amp; Outputs'!B$16*'Benefit Calculations'!G20*('Benefit Calculations'!D$4-'Benefit Calculations'!D$5)</f>
        <v>2592.5410133007836</v>
      </c>
      <c r="O20" s="89">
        <f t="shared" si="4"/>
        <v>0.74302529967261732</v>
      </c>
      <c r="P20" s="72">
        <f>ABS(O20*'Assumed Values'!$C$7)</f>
        <v>1415.4631958763359</v>
      </c>
      <c r="Q20" s="73">
        <f t="shared" si="1"/>
        <v>479.4663563510577</v>
      </c>
      <c r="T20" s="85">
        <f t="shared" si="5"/>
        <v>-0.60064572380385572</v>
      </c>
      <c r="U20" s="86">
        <f>T20*'Assumed Values'!$D$8</f>
        <v>0</v>
      </c>
    </row>
    <row r="21" spans="2:21" x14ac:dyDescent="0.25">
      <c r="F21" s="70">
        <f t="shared" si="2"/>
        <v>2035</v>
      </c>
      <c r="G21" s="80">
        <f t="shared" si="6"/>
        <v>284259.67165905552</v>
      </c>
      <c r="H21" s="79">
        <f t="shared" si="8"/>
        <v>5.0951324003658538E-3</v>
      </c>
      <c r="I21" s="70">
        <f>IF(AND(F21&gt;='Inputs &amp; Outputs'!B$13,F21&lt;'Inputs &amp; Outputs'!B$13+'Inputs &amp; Outputs'!B$19),1,0)</f>
        <v>1</v>
      </c>
      <c r="J21" s="71">
        <f>I21*'Inputs &amp; Outputs'!B$16*'Benefit Calculations'!G21*('Benefit Calculations'!C$4-'Benefit Calculations'!C$5)</f>
        <v>-2321.9465126628843</v>
      </c>
      <c r="K21" s="89">
        <f t="shared" si="3"/>
        <v>-0.66547259794303015</v>
      </c>
      <c r="L21" s="72">
        <f>K21*'Assumed Values'!$C$8</f>
        <v>-4996.3682653562701</v>
      </c>
      <c r="M21" s="73">
        <f t="shared" si="0"/>
        <v>-1581.7222381393847</v>
      </c>
      <c r="N21" s="88">
        <f>I21*'Inputs &amp; Outputs'!B$16*'Benefit Calculations'!G21*('Benefit Calculations'!D$4-'Benefit Calculations'!D$5)</f>
        <v>2605.7503530169297</v>
      </c>
      <c r="O21" s="89">
        <f t="shared" si="4"/>
        <v>0.74681111195127092</v>
      </c>
      <c r="P21" s="72">
        <f>ABS(O21*'Assumed Values'!$C$7)</f>
        <v>1422.6751682671711</v>
      </c>
      <c r="Q21" s="73">
        <f t="shared" si="1"/>
        <v>450.38252422260507</v>
      </c>
      <c r="T21" s="85">
        <f t="shared" si="5"/>
        <v>-0.60370609329234992</v>
      </c>
      <c r="U21" s="86">
        <f>T21*'Assumed Values'!$D$8</f>
        <v>0</v>
      </c>
    </row>
    <row r="22" spans="2:21" x14ac:dyDescent="0.25">
      <c r="F22" s="70">
        <f t="shared" si="2"/>
        <v>2036</v>
      </c>
      <c r="G22" s="80">
        <f t="shared" si="6"/>
        <v>285708.01232224295</v>
      </c>
      <c r="H22" s="79">
        <f t="shared" si="8"/>
        <v>5.0951324003658538E-3</v>
      </c>
      <c r="I22" s="70">
        <f>IF(AND(F22&gt;='Inputs &amp; Outputs'!B$13,F22&lt;'Inputs &amp; Outputs'!B$13+'Inputs &amp; Outputs'!B$19),1,0)</f>
        <v>1</v>
      </c>
      <c r="J22" s="71">
        <f>I22*'Inputs &amp; Outputs'!B$16*'Benefit Calculations'!G22*('Benefit Calculations'!C$4-'Benefit Calculations'!C$5)</f>
        <v>-2333.7771375714697</v>
      </c>
      <c r="K22" s="89">
        <f t="shared" si="3"/>
        <v>-0.66886326893836545</v>
      </c>
      <c r="L22" s="72">
        <f>K22*'Assumed Values'!$C$8</f>
        <v>-5021.8254231892479</v>
      </c>
      <c r="M22" s="73">
        <f t="shared" si="0"/>
        <v>-1485.7769367881385</v>
      </c>
      <c r="N22" s="88">
        <f>I22*'Inputs &amp; Outputs'!B$16*'Benefit Calculations'!G22*('Benefit Calculations'!D$4-'Benefit Calculations'!D$5)</f>
        <v>2619.0269960678511</v>
      </c>
      <c r="O22" s="89">
        <f t="shared" si="4"/>
        <v>0.75061621344472707</v>
      </c>
      <c r="P22" s="72">
        <f>ABS(O22*'Assumed Values'!$C$7)</f>
        <v>1429.923886612205</v>
      </c>
      <c r="Q22" s="73">
        <f t="shared" si="1"/>
        <v>423.06288113488802</v>
      </c>
      <c r="T22" s="85">
        <f t="shared" si="5"/>
        <v>-0.60678205576858213</v>
      </c>
      <c r="U22" s="86">
        <f>T22*'Assumed Values'!$D$8</f>
        <v>0</v>
      </c>
    </row>
    <row r="23" spans="2:21" x14ac:dyDescent="0.25">
      <c r="F23" s="70">
        <f t="shared" si="2"/>
        <v>2037</v>
      </c>
      <c r="G23" s="80">
        <f t="shared" si="6"/>
        <v>287163.73247287015</v>
      </c>
      <c r="H23" s="79">
        <f t="shared" si="8"/>
        <v>5.0951324003658538E-3</v>
      </c>
      <c r="I23" s="70">
        <f>IF(AND(F23&gt;='Inputs &amp; Outputs'!B$13,F23&lt;'Inputs &amp; Outputs'!B$13+'Inputs &amp; Outputs'!B$19),1,0)</f>
        <v>1</v>
      </c>
      <c r="J23" s="71">
        <f>I23*'Inputs &amp; Outputs'!B$16*'Benefit Calculations'!G23*('Benefit Calculations'!C$4-'Benefit Calculations'!C$5)</f>
        <v>-2345.6680410803428</v>
      </c>
      <c r="K23" s="89">
        <f t="shared" si="3"/>
        <v>-0.67227121585134786</v>
      </c>
      <c r="L23" s="72">
        <f>K23*'Assumed Values'!$C$8</f>
        <v>-5047.4122886119194</v>
      </c>
      <c r="M23" s="73">
        <f t="shared" si="0"/>
        <v>-1395.6515579425081</v>
      </c>
      <c r="N23" s="88">
        <f>I23*'Inputs &amp; Outputs'!B$16*'Benefit Calculations'!G23*('Benefit Calculations'!D$4-'Benefit Calculations'!D$5)</f>
        <v>2632.3712853729494</v>
      </c>
      <c r="O23" s="89">
        <f t="shared" si="4"/>
        <v>0.75444070243408923</v>
      </c>
      <c r="P23" s="72">
        <f>ABS(O23*'Assumed Values'!$C$7)</f>
        <v>1437.20953813694</v>
      </c>
      <c r="Q23" s="73">
        <f t="shared" si="1"/>
        <v>397.40041357752381</v>
      </c>
      <c r="T23" s="85">
        <f t="shared" si="5"/>
        <v>-0.60987369068088915</v>
      </c>
      <c r="U23" s="86">
        <f>T23*'Assumed Values'!$D$8</f>
        <v>0</v>
      </c>
    </row>
    <row r="24" spans="2:21" x14ac:dyDescent="0.25">
      <c r="F24" s="70">
        <f t="shared" si="2"/>
        <v>2038</v>
      </c>
      <c r="G24" s="80">
        <f t="shared" si="6"/>
        <v>288626.86971040268</v>
      </c>
      <c r="H24" s="79">
        <f t="shared" si="8"/>
        <v>5.0951324003658538E-3</v>
      </c>
      <c r="I24" s="70">
        <f>IF(AND(F24&gt;='Inputs &amp; Outputs'!B$13,F24&lt;'Inputs &amp; Outputs'!B$13+'Inputs &amp; Outputs'!B$19),1,0)</f>
        <v>1</v>
      </c>
      <c r="J24" s="71">
        <f>I24*'Inputs &amp; Outputs'!B$16*'Benefit Calculations'!G24*('Benefit Calculations'!C$4-'Benefit Calculations'!C$5)</f>
        <v>-2357.6195303169543</v>
      </c>
      <c r="K24" s="89">
        <f t="shared" si="3"/>
        <v>-0.67569652670506553</v>
      </c>
      <c r="L24" s="72">
        <f>K24*'Assumed Values'!$C$8</f>
        <v>-5073.129522501632</v>
      </c>
      <c r="M24" s="73">
        <f t="shared" si="0"/>
        <v>-1310.9930723504697</v>
      </c>
      <c r="N24" s="88">
        <f>I24*'Inputs &amp; Outputs'!B$16*'Benefit Calculations'!G24*('Benefit Calculations'!D$4-'Benefit Calculations'!D$5)</f>
        <v>2645.7835655988461</v>
      </c>
      <c r="O24" s="89">
        <f t="shared" si="4"/>
        <v>0.7582846777012161</v>
      </c>
      <c r="P24" s="72">
        <f>ABS(O24*'Assumed Values'!$C$7)</f>
        <v>1444.5323110208167</v>
      </c>
      <c r="Q24" s="73">
        <f t="shared" si="1"/>
        <v>373.29459934641267</v>
      </c>
      <c r="T24" s="85">
        <f t="shared" si="5"/>
        <v>-0.61298107788240819</v>
      </c>
      <c r="U24" s="86">
        <f>T24*'Assumed Values'!$D$8</f>
        <v>0</v>
      </c>
    </row>
    <row r="25" spans="2:21" x14ac:dyDescent="0.25">
      <c r="F25" s="70">
        <f t="shared" si="2"/>
        <v>2039</v>
      </c>
      <c r="G25" s="80">
        <f t="shared" si="6"/>
        <v>290097.46182588034</v>
      </c>
      <c r="H25" s="79">
        <f t="shared" si="8"/>
        <v>5.0951324003658538E-3</v>
      </c>
      <c r="I25" s="70">
        <f>IF(AND(F25&gt;='Inputs &amp; Outputs'!B$13,F25&lt;'Inputs &amp; Outputs'!B$13+'Inputs &amp; Outputs'!B$19),1,0)</f>
        <v>1</v>
      </c>
      <c r="J25" s="71">
        <f>I25*'Inputs &amp; Outputs'!B$16*'Benefit Calculations'!G25*('Benefit Calculations'!C$4-'Benefit Calculations'!C$5)</f>
        <v>-2369.6319139736079</v>
      </c>
      <c r="K25" s="89">
        <f t="shared" si="3"/>
        <v>-0.67913928997109529</v>
      </c>
      <c r="L25" s="72">
        <f>K25*'Assumed Values'!$C$8</f>
        <v>-5098.9777891029835</v>
      </c>
      <c r="M25" s="73">
        <f t="shared" si="0"/>
        <v>-1231.4698650748203</v>
      </c>
      <c r="N25" s="88">
        <f>I25*'Inputs &amp; Outputs'!B$16*'Benefit Calculations'!G25*('Benefit Calculations'!D$4-'Benefit Calculations'!D$5)</f>
        <v>2659.2641831682845</v>
      </c>
      <c r="O25" s="89">
        <f t="shared" si="4"/>
        <v>0.76214823853127256</v>
      </c>
      <c r="P25" s="72">
        <f>ABS(O25*'Assumed Values'!$C$7)</f>
        <v>1451.8923944020742</v>
      </c>
      <c r="Q25" s="73">
        <f t="shared" si="1"/>
        <v>350.65101378918143</v>
      </c>
      <c r="T25" s="85">
        <f t="shared" si="5"/>
        <v>-0.61610429763313801</v>
      </c>
      <c r="U25" s="86">
        <f>T25*'Assumed Values'!$D$8</f>
        <v>0</v>
      </c>
    </row>
    <row r="26" spans="2:21" x14ac:dyDescent="0.25">
      <c r="F26" s="70">
        <f t="shared" si="2"/>
        <v>2040</v>
      </c>
      <c r="G26" s="80">
        <f t="shared" si="6"/>
        <v>291575.54680289328</v>
      </c>
      <c r="H26" s="79">
        <f t="shared" si="8"/>
        <v>5.0951324003658538E-3</v>
      </c>
      <c r="I26" s="70">
        <f>IF(AND(F26&gt;='Inputs &amp; Outputs'!B$13,F26&lt;'Inputs &amp; Outputs'!B$13+'Inputs &amp; Outputs'!B$19),1,0)</f>
        <v>0</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25">
      <c r="F27" s="70">
        <f t="shared" si="2"/>
        <v>2041</v>
      </c>
      <c r="G27" s="80">
        <f t="shared" si="6"/>
        <v>293061.16281856311</v>
      </c>
      <c r="H27" s="79">
        <f t="shared" si="8"/>
        <v>5.0951324003658538E-3</v>
      </c>
      <c r="I27" s="70">
        <f>IF(AND(F27&gt;='Inputs &amp; Outputs'!B$13,F27&lt;'Inputs &amp; Outputs'!B$13+'Inputs &amp; Outputs'!B$19),1,0)</f>
        <v>0</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294554.34824452887</v>
      </c>
      <c r="H28" s="79">
        <f t="shared" si="8"/>
        <v>5.0951324003658538E-3</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296055.14164793823</v>
      </c>
      <c r="H29" s="79">
        <f t="shared" si="8"/>
        <v>5.0951324003658538E-3</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297563.58179244353</v>
      </c>
      <c r="H30" s="79">
        <f t="shared" si="8"/>
        <v>5.0951324003658538E-3</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306777</v>
      </c>
      <c r="H31" s="79">
        <f t="shared" si="8"/>
        <v>5.0951324003658538E-3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308340.06943238701</v>
      </c>
      <c r="H32" s="79">
        <f t="shared" si="8"/>
        <v>5.0951324003658538E-3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309911.10291048302</v>
      </c>
      <c r="H33" s="79">
        <f t="shared" si="8"/>
        <v>5.0951324003658538E-3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311490.14101215533</v>
      </c>
      <c r="H34" s="79">
        <f t="shared" si="8"/>
        <v>5.0951324003658538E-3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313077.2245220209</v>
      </c>
      <c r="H35" s="79">
        <f t="shared" si="8"/>
        <v>5.0951324003658538E-3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314672.39443249966</v>
      </c>
      <c r="H36" s="79">
        <f t="shared" si="8"/>
        <v>5.0951324003658538E-3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-27656.010848129841</v>
      </c>
      <c r="K37" s="71">
        <f t="shared" ref="K37:Q37" si="9">SUM(K4:K36)</f>
        <v>-7.9262451944850865</v>
      </c>
      <c r="L37" s="74">
        <f t="shared" si="9"/>
        <v>-59510.248920194026</v>
      </c>
      <c r="M37" s="75">
        <f t="shared" si="9"/>
        <v>-21338.392235428943</v>
      </c>
      <c r="N37" s="88">
        <f t="shared" si="9"/>
        <v>31036.313557416212</v>
      </c>
      <c r="O37" s="88">
        <f t="shared" si="9"/>
        <v>8.895043921550883</v>
      </c>
      <c r="P37" s="76">
        <f t="shared" si="9"/>
        <v>16945.05867055443</v>
      </c>
      <c r="Q37" s="75">
        <f t="shared" si="9"/>
        <v>6075.9333883738618</v>
      </c>
      <c r="T37" s="85">
        <f>SUM(T4:T36)</f>
        <v>-7.1905628205137573</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12</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topLeftCell="A10"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topLeftCell="A19"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2018-04-10T17:15:43Z</cp:lastPrinted>
  <dcterms:created xsi:type="dcterms:W3CDTF">2012-07-25T15:48:32Z</dcterms:created>
  <dcterms:modified xsi:type="dcterms:W3CDTF">2018-10-31T20:40:12Z</dcterms:modified>
</cp:coreProperties>
</file>