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IH69\"/>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<sst xmlns="http://schemas.openxmlformats.org/spreadsheetml/2006/main" count="291" uniqueCount="236">
  <si>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</si>
  <si>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</si>
  <si>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</si>
  <si>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</si>
  <si>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</si>
  <si>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</si>
  <si>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</si>
  <si>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</si>
  <si>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</si>
  <si>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</si>
  <si>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</si>
  <si>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</si>
  <si>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</si>
  <si>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</si>
  <si>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</si>
  <si>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</si>
  <si>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</si>
  <si>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</si>
  <si>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</si>
  <si>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</si>
  <si>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</si>
  <si>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</si>
  <si>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</si>
  <si>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</si>
  <si>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</si>
  <si>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</si>
  <si>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</si>
  <si>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</si>
  <si>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</si>
  <si>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</si>
  <si>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</si>
  <si>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</si>
  <si>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</si>
  <si>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</si>
  <si>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</si>
  <si>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</si>
  <si>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</si>
  <si>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</si>
  <si>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</si>
  <si>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</si>
  <si>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</si>
  <si>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</si>
  <si>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</si>
  <si>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</si>
  <si>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</si>
  <si>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</si>
  <si>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</si>
  <si>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</si>
  <si>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</si>
  <si>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</si>
  <si>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</si>
  <si>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</si>
  <si>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</si>
  <si>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</si>
  <si>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</si>
  <si>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</si>
  <si>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</si>
  <si>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</si>
  <si>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</si>
  <si>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</si>
  <si>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</si>
  <si>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</si>
  <si>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</si>
  <si>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</si>
  <si>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</si>
  <si>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</si>
  <si>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</si>
  <si>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</si>
  <si>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</si>
  <si>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</si>
  <si>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</si>
  <si>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</si>
  <si>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</si>
  <si>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</si>
  <si>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</si>
  <si>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</si>
  <si>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</si>
  <si>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</si>
  <si>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</si>
  <si>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</si>
  <si>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</si>
  <si>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</si>
  <si>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</si>
  <si>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</si>
  <si>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</si>
  <si>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</si>
  <si>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</si>
  <si>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</si>
  <si>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</si>
  <si>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</si>
  <si>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</si>
  <si>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</si>
  <si>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</si>
  <si>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</si>
  <si>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</si>
  <si>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</si>
  <si>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</si>
  <si>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</si>
  <si>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</si>
  <si>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</si>
  <si>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</si>
  <si>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</si>
  <si>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</si>
  <si>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</si>
  <si>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</si>
  <si>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</si>
  <si>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</si>
  <si>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</si>
  <si>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</si>
  <si>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</si>
  <si>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</si>
  <si>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</si>
  <si>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</si>
  <si>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</si>
  <si>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</si>
  <si>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</si>
  <si>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</si>
  <si>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</si>
  <si>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</si>
  <si>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</si>
  <si>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</si>
  <si>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</si>
  <si>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</si>
  <si>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</si>
  <si>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</si>
  <si>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</si>
  <si>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</si>
  <si>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</si>
  <si>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</si>
  <si>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</si>
  <si>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</si>
  <si>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</si>
  <si>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</si>
  <si>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</si>
  <si>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</si>
  <si>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</si>
  <si>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</si>
  <si>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</si>
  <si>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</si>
  <si>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</si>
  <si>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</si>
  <si>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</si>
  <si>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</si>
  <si>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</si>
  <si>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</si>
  <si>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</si>
  <si>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</si>
  <si>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</si>
  <si>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</si>
  <si>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</si>
  <si>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</si>
  <si>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</si>
  <si>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</si>
  <si>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</si>
  <si>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</si>
  <si>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</si>
  <si>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</si>
  <si>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</si>
  <si>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</si>
  <si>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</si>
  <si>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</si>
  <si>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</si>
  <si>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</si>
  <si>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</si>
  <si>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</si>
  <si>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</si>
  <si>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</si>
  <si>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</si>
  <si>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</si>
  <si>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</si>
  <si>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</si>
  <si>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</si>
  <si>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</si>
  <si>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</si>
  <si>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</si>
  <si>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</si>
  <si>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</si>
  <si>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</si>
  <si>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</si>
  <si>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</si>
  <si>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</si>
  <si>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</si>
  <si>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</si>
  <si>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</si>
  <si>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</si>
  <si>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</si>
  <si>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</si>
  <si>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</si>
  <si>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</si>
  <si>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</si>
  <si>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</si>
  <si>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</si>
  <si>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</si>
  <si>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</si>
  <si>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</si>
  <si>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</si>
  <si>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</si>
  <si>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</si>
  <si>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</si>
  <si>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</si>
  <si>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</si>
  <si>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</si>
  <si>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</si>
  <si>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</si>
  <si>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</si>
  <si>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</si>
  <si>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</si>
  <si>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</si>
  <si>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</si>
  <si>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</si>
  <si>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</si>
  <si>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</si>
  <si>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</si>
  <si>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</si>
  <si>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</si>
  <si>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</si>
  <si>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</si>
  <si>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</si>
  <si>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</si>
  <si>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</si>
  <si>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</si>
  <si>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</si>
  <si>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</si>
  <si>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</si>
  <si>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</si>
  <si>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</si>
  <si>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</si>
  <si>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</si>
  <si>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</si>
  <si>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</si>
  <si>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</si>
  <si>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</si>
  <si>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</si>
  <si>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IH 69</t>
  </si>
  <si>
    <t>Spur 527</t>
  </si>
  <si>
    <t xml:space="preserve">BW 8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</si>
</sst>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2"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7" zoomScale="115" zoomScaleNormal="115" workbookViewId="0">
      <selection activeCell="G19" sqref="G1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137</v>
      </c>
      <c r="D6" s="8"/>
      <c r="E6" s="103" t="s">
        <v>187</v>
      </c>
    </row>
    <row r="7" spans="1:7" x14ac:dyDescent="0.25">
      <c r="A7" s="8" t="s">
        <v>98</v>
      </c>
      <c r="B7" s="138" t="s">
        <v>200</v>
      </c>
      <c r="D7" s="104"/>
      <c r="E7" s="103" t="s">
        <v>196</v>
      </c>
    </row>
    <row r="8" spans="1:7" x14ac:dyDescent="0.25">
      <c r="A8" s="8" t="s">
        <v>99</v>
      </c>
      <c r="B8" s="138" t="s">
        <v>205</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12</v>
      </c>
    </row>
    <row r="13" spans="1:7" x14ac:dyDescent="0.25">
      <c r="A13" s="8" t="s">
        <v>68</v>
      </c>
      <c r="B13" s="138">
        <v>160</v>
      </c>
      <c r="F13" s="120"/>
    </row>
    <row r="14" spans="1:7" x14ac:dyDescent="0.25">
      <c r="A14" s="8" t="s">
        <v>69</v>
      </c>
      <c r="B14" s="138"/>
    </row>
    <row r="17" spans="1:7" x14ac:dyDescent="0.25">
      <c r="A17" s="119" t="s">
        <v>120</v>
      </c>
      <c r="E17" s="151" t="s">
        <v>231</v>
      </c>
      <c r="F17" s="152"/>
    </row>
    <row r="18" spans="1:7" x14ac:dyDescent="0.25">
      <c r="A18" s="8" t="s">
        <v>79</v>
      </c>
      <c r="B18" s="139">
        <v>2028</v>
      </c>
      <c r="E18" s="105" t="s">
        <v>232</v>
      </c>
      <c r="F18" s="145">
        <f>$B$12/$B$32</f>
        <v>0.17647058823529413</v>
      </c>
    </row>
    <row r="19" spans="1:7" ht="30" x14ac:dyDescent="0.25">
      <c r="A19" s="8" t="s">
        <v>121</v>
      </c>
      <c r="B19" s="140" t="s">
        <v>137</v>
      </c>
      <c r="E19" s="107" t="s">
        <v>212</v>
      </c>
      <c r="F19" s="146">
        <f>$B$12/$B$33</f>
        <v>0.52173913043478259</v>
      </c>
    </row>
    <row r="20" spans="1:7" ht="30" x14ac:dyDescent="0.25">
      <c r="A20" s="135" t="s">
        <v>208</v>
      </c>
      <c r="B20" s="136">
        <f>VLOOKUP(B19,'Delay Reduction Factors'!B4:C80,2, FALSE)</f>
        <v>0.25</v>
      </c>
      <c r="E20" s="107" t="s">
        <v>209</v>
      </c>
      <c r="F20" s="145">
        <f>$F$19-$F$18</f>
        <v>0.34526854219948844</v>
      </c>
    </row>
    <row r="21" spans="1:7" x14ac:dyDescent="0.25">
      <c r="A21" s="8" t="s">
        <v>104</v>
      </c>
      <c r="B21" s="79">
        <v>12</v>
      </c>
      <c r="D21" s="121"/>
      <c r="E21" s="105" t="s">
        <v>210</v>
      </c>
      <c r="F21" s="145">
        <f>$F$20*$B$20</f>
        <v>8.6317135549872109E-2</v>
      </c>
      <c r="G21" s="122"/>
    </row>
    <row r="22" spans="1:7" s="113" customFormat="1" x14ac:dyDescent="0.25">
      <c r="D22" s="121"/>
      <c r="E22" s="105" t="s">
        <v>211</v>
      </c>
      <c r="F22" s="145">
        <f>$F$20-$F$21</f>
        <v>0.25895140664961636</v>
      </c>
      <c r="G22" s="122"/>
    </row>
    <row r="23" spans="1:7" x14ac:dyDescent="0.25">
      <c r="E23" s="105" t="s">
        <v>213</v>
      </c>
      <c r="F23" s="145">
        <f>$F$18+$F$22</f>
        <v>0.43542199488491051</v>
      </c>
    </row>
    <row r="24" spans="1:7" x14ac:dyDescent="0.25">
      <c r="A24" s="119" t="s">
        <v>94</v>
      </c>
      <c r="B24" s="123"/>
      <c r="D24" s="121"/>
      <c r="G24" s="124"/>
    </row>
    <row r="25" spans="1:7" x14ac:dyDescent="0.25">
      <c r="A25" s="8" t="s">
        <v>218</v>
      </c>
      <c r="B25" s="141">
        <v>249014</v>
      </c>
      <c r="D25" s="121"/>
      <c r="G25" s="124"/>
    </row>
    <row r="28" spans="1:7" x14ac:dyDescent="0.25">
      <c r="A28" s="105" t="s">
        <v>227</v>
      </c>
      <c r="B28" s="134">
        <f>IF(FacilityType='Delay Reduction Factors'!N5,'Inputs &amp; Outputs'!B25*45%, B25*43%)</f>
        <v>112056.3</v>
      </c>
      <c r="D28" s="121"/>
      <c r="E28" s="125" t="s">
        <v>95</v>
      </c>
      <c r="F28" s="126" t="s">
        <v>20</v>
      </c>
      <c r="G28" s="127" t="s">
        <v>19</v>
      </c>
    </row>
    <row r="29" spans="1:7" x14ac:dyDescent="0.25">
      <c r="A29" s="105" t="s">
        <v>228</v>
      </c>
      <c r="B29" s="115">
        <f>VLOOKUP(Year_Open_to_Traffic?,Calculations!H4:I36,2)</f>
        <v>126566.9201495047</v>
      </c>
      <c r="D29" s="121"/>
      <c r="E29" s="107" t="s">
        <v>122</v>
      </c>
      <c r="F29" s="101">
        <f>$B$29*$F$23</f>
        <v>55110.020857936513</v>
      </c>
      <c r="G29" s="102">
        <f>$B$29*$F$19</f>
        <v>66034.914860611141</v>
      </c>
    </row>
    <row r="30" spans="1:7" x14ac:dyDescent="0.25">
      <c r="A30" s="124"/>
      <c r="B30" s="100"/>
      <c r="D30" s="121"/>
    </row>
    <row r="32" spans="1:7" x14ac:dyDescent="0.25">
      <c r="A32" s="128" t="s">
        <v>221</v>
      </c>
      <c r="B32" s="142">
        <v>68</v>
      </c>
      <c r="D32" s="121"/>
    </row>
    <row r="33" spans="1:7" ht="30" x14ac:dyDescent="0.25">
      <c r="A33" s="129" t="s">
        <v>222</v>
      </c>
      <c r="B33" s="143">
        <v>23</v>
      </c>
      <c r="D33" s="121"/>
      <c r="E33" s="121"/>
      <c r="F33" s="130"/>
      <c r="G33" s="117"/>
    </row>
    <row r="34" spans="1:7" x14ac:dyDescent="0.25">
      <c r="A34" s="131"/>
      <c r="B34" s="144"/>
      <c r="E34" s="117"/>
      <c r="F34" s="130"/>
      <c r="G34" s="130"/>
    </row>
    <row r="35" spans="1:7" x14ac:dyDescent="0.25">
      <c r="A35" s="105" t="s">
        <v>223</v>
      </c>
      <c r="B35" s="148">
        <f>$B$28</f>
        <v>112056.3</v>
      </c>
    </row>
    <row r="36" spans="1:7" x14ac:dyDescent="0.25">
      <c r="A36" s="128" t="s">
        <v>224</v>
      </c>
      <c r="B36" s="142">
        <v>154845</v>
      </c>
    </row>
    <row r="37" spans="1:7" x14ac:dyDescent="0.25">
      <c r="A37" s="128" t="s">
        <v>229</v>
      </c>
      <c r="B37" s="142">
        <v>124369</v>
      </c>
    </row>
    <row r="38" spans="1:7" x14ac:dyDescent="0.25">
      <c r="A38" s="128" t="s">
        <v>225</v>
      </c>
      <c r="B38" s="142">
        <v>154845</v>
      </c>
    </row>
    <row r="39" spans="1:7" x14ac:dyDescent="0.25">
      <c r="A39" s="128" t="s">
        <v>230</v>
      </c>
      <c r="B39" s="142">
        <v>139776</v>
      </c>
    </row>
    <row r="40" spans="1:7" x14ac:dyDescent="0.25">
      <c r="A40" s="128" t="s">
        <v>226</v>
      </c>
      <c r="B40" s="142">
        <v>154845</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436292.16414360446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14328605.423063494</v>
      </c>
      <c r="F4" s="22">
        <f>'Inputs &amp; Outputs'!G29*Annual_Days_of_Travel</f>
        <v>17169077.863758896</v>
      </c>
      <c r="H4" s="59">
        <v>2018</v>
      </c>
      <c r="I4" s="60">
        <f>'Inputs &amp; Outputs'!B28</f>
        <v>112056.3</v>
      </c>
      <c r="J4" s="60">
        <f>IF(H4=Year_Open_to_Traffic?,$F$4,0)</f>
        <v>0</v>
      </c>
      <c r="K4" s="60">
        <f>IF(H4=Year_Open_to_Traffic?,Calculations!$E$4,0)</f>
        <v>0</v>
      </c>
      <c r="L4" s="60">
        <f>IF(AND(H4&gt;=Year_Open_to_Traffic?, Calculations!H4&lt;Year_Open_to_Traffic?+'Inputs &amp; Outputs'!B$21), 1, 0)</f>
        <v>0</v>
      </c>
      <c r="M4" s="81" t="s">
        <v>75</v>
      </c>
      <c r="N4" s="82">
        <f>MIN(E8,1)</f>
        <v>0.72366753850624821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1.5004530112703085E-2</v>
      </c>
      <c r="F5" s="28"/>
      <c r="H5" s="15">
        <f t="shared" ref="H5:H36" si="3">H4+1</f>
        <v>2019</v>
      </c>
      <c r="I5" s="97">
        <f>(I4*M5)+I4</f>
        <v>113737.65212766809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1.5004530112703085E-2</v>
      </c>
      <c r="N5" s="87">
        <f t="shared" ref="N5:N11" si="6">N4*(1+IFERROR(_2018_2025_V_C_Growth,_2018_2045_V_C_Growth))</f>
        <v>0.73452582987935089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5.8564919923220771E-3</v>
      </c>
      <c r="F6" s="28"/>
      <c r="H6" s="59">
        <f t="shared" si="3"/>
        <v>2020</v>
      </c>
      <c r="I6" s="97">
        <f t="shared" ref="I6:I36" si="10">(I5*M6)+I5</f>
        <v>115444.23215396583</v>
      </c>
      <c r="J6" s="60">
        <f t="shared" si="4"/>
        <v>0</v>
      </c>
      <c r="K6" s="60">
        <f>IF(H6=Year_Open_to_Traffic?,Calculations!$E$4,K5+(K5*M6))</f>
        <v>0</v>
      </c>
      <c r="L6" s="60">
        <f>IF(AND(H6&gt;=Year_Open_to_Traffic?, Calculations!H6&lt;Year_Open_to_Traffic?+'Inputs &amp; Outputs'!B$21), 1, 0)</f>
        <v>0</v>
      </c>
      <c r="M6" s="81">
        <f t="shared" si="5"/>
        <v>1.5004530112703085E-2</v>
      </c>
      <c r="N6" s="87">
        <f t="shared" si="6"/>
        <v>0.7455470448123338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8.2202585144335316E-3</v>
      </c>
      <c r="F7" s="28"/>
      <c r="H7" s="15">
        <f t="shared" si="3"/>
        <v>2021</v>
      </c>
      <c r="I7" s="97">
        <f t="shared" si="10"/>
        <v>117176.41861165789</v>
      </c>
      <c r="J7" s="60">
        <f t="shared" si="4"/>
        <v>0</v>
      </c>
      <c r="K7" s="60">
        <f>IF(H7=Year_Open_to_Traffic?,Calculations!$E$4,K6+(K6*M7))</f>
        <v>0</v>
      </c>
      <c r="L7" s="60">
        <f>IF(AND(H7&gt;=Year_Open_to_Traffic?, Calculations!H7&lt;Year_Open_to_Traffic?+'Inputs &amp; Outputs'!B$21), 1, 0)</f>
        <v>0</v>
      </c>
      <c r="M7" s="81">
        <f t="shared" si="5"/>
        <v>1.5004530112703085E-2</v>
      </c>
      <c r="N7" s="87">
        <f t="shared" si="6"/>
        <v>0.75673362789665721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0.72366753850624821</v>
      </c>
      <c r="F8" s="28"/>
      <c r="H8" s="59">
        <f t="shared" si="3"/>
        <v>2022</v>
      </c>
      <c r="I8" s="97">
        <f t="shared" si="10"/>
        <v>118934.59571321521</v>
      </c>
      <c r="J8" s="60">
        <f t="shared" si="4"/>
        <v>0</v>
      </c>
      <c r="K8" s="60">
        <f>IF(H8=Year_Open_to_Traffic?,Calculations!$E$4,K7+(K7*M8))</f>
        <v>0</v>
      </c>
      <c r="L8" s="60">
        <f>IF(AND(H8&gt;=Year_Open_to_Traffic?, Calculations!H8&lt;Year_Open_to_Traffic?+'Inputs &amp; Outputs'!B$21), 1, 0)</f>
        <v>0</v>
      </c>
      <c r="M8" s="81">
        <f t="shared" si="5"/>
        <v>1.5004530112703085E-2</v>
      </c>
      <c r="N8" s="87">
        <f t="shared" si="6"/>
        <v>0.76808806040372768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0.80318382899028062</v>
      </c>
      <c r="F9" s="28"/>
      <c r="H9" s="15">
        <f t="shared" si="3"/>
        <v>2023</v>
      </c>
      <c r="I9" s="97">
        <f t="shared" si="10"/>
        <v>120719.15343603631</v>
      </c>
      <c r="J9" s="60">
        <f t="shared" si="4"/>
        <v>0</v>
      </c>
      <c r="K9" s="60">
        <f>IF(H9=Year_Open_to_Traffic?,Calculations!$E$4,K8+(K8*M9))</f>
        <v>0</v>
      </c>
      <c r="L9" s="60">
        <f>IF(AND(H9&gt;=Year_Open_to_Traffic?, Calculations!H9&lt;Year_Open_to_Traffic?+'Inputs &amp; Outputs'!B$21), 1, 0)</f>
        <v>0</v>
      </c>
      <c r="M9" s="81">
        <f t="shared" si="5"/>
        <v>1.5004530112703085E-2</v>
      </c>
      <c r="N9" s="87">
        <f t="shared" si="6"/>
        <v>0.77961286083526316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0.90268332848978006</v>
      </c>
      <c r="F10" s="28"/>
      <c r="H10" s="59">
        <f t="shared" si="3"/>
        <v>2024</v>
      </c>
      <c r="I10" s="97">
        <f t="shared" si="10"/>
        <v>122530.48760894734</v>
      </c>
      <c r="J10" s="60">
        <f t="shared" si="4"/>
        <v>0</v>
      </c>
      <c r="K10" s="60">
        <f>IF(H10=Year_Open_to_Traffic?,Calculations!$E$4,K9+(K9*M10))</f>
        <v>0</v>
      </c>
      <c r="L10" s="60">
        <f>IF(AND(H10&gt;=Year_Open_to_Traffic?, Calculations!H10&lt;Year_Open_to_Traffic?+'Inputs &amp; Outputs'!B$21), 1, 0)</f>
        <v>0</v>
      </c>
      <c r="M10" s="81">
        <f t="shared" si="5"/>
        <v>1.5004530112703085E-2</v>
      </c>
      <c r="N10" s="87">
        <f t="shared" si="6"/>
        <v>0.79131058548191646</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1.5004530112703085E-2</v>
      </c>
      <c r="F11" s="28"/>
      <c r="H11" s="15">
        <f t="shared" si="3"/>
        <v>2025</v>
      </c>
      <c r="I11" s="97">
        <f t="shared" si="10"/>
        <v>124368.99999999999</v>
      </c>
      <c r="J11" s="60">
        <f t="shared" si="4"/>
        <v>0</v>
      </c>
      <c r="K11" s="60">
        <f>IF(H11=Year_Open_to_Traffic?,Calculations!$E$4,K10+(K10*M11))</f>
        <v>0</v>
      </c>
      <c r="L11" s="60">
        <f>IF(AND(H11&gt;=Year_Open_to_Traffic?, Calculations!H11&lt;Year_Open_to_Traffic?+'Inputs &amp; Outputs'!B$21), 1, 0)</f>
        <v>0</v>
      </c>
      <c r="M11" s="81">
        <f t="shared" si="5"/>
        <v>1.5004530112703085E-2</v>
      </c>
      <c r="N11" s="87">
        <f t="shared" si="6"/>
        <v>0.80318382899028062</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5.8564919923220771E-3</v>
      </c>
      <c r="F12" s="28"/>
      <c r="H12" s="59">
        <v>2026</v>
      </c>
      <c r="I12" s="97">
        <f t="shared" si="10"/>
        <v>125097.36605259309</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5.8564919923220771E-3</v>
      </c>
      <c r="N12" s="87">
        <f t="shared" ref="N12:N36" si="12">N11*(1+IFERROR(_2025_2045_V_C_Growth,_2018_2045_V_C_Growth))</f>
        <v>0.80788766865312478</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8.2202585144335316E-3</v>
      </c>
      <c r="F13" s="28"/>
      <c r="H13" s="15">
        <f t="shared" si="3"/>
        <v>2027</v>
      </c>
      <c r="I13" s="97">
        <f t="shared" si="10"/>
        <v>125829.99777514068</v>
      </c>
      <c r="J13" s="60">
        <f t="shared" si="4"/>
        <v>0</v>
      </c>
      <c r="K13" s="60">
        <f>IF(H13=Year_Open_to_Traffic?,Calculations!$E$4,K12+(K12*M13))</f>
        <v>0</v>
      </c>
      <c r="L13" s="60">
        <f>IF(AND(H13&gt;=Year_Open_to_Traffic?, Calculations!H13&lt;Year_Open_to_Traffic?+'Inputs &amp; Outputs'!B$21), 1, 0)</f>
        <v>0</v>
      </c>
      <c r="M13" s="81">
        <f t="shared" si="11"/>
        <v>5.8564919923220771E-3</v>
      </c>
      <c r="N13" s="87">
        <f t="shared" si="12"/>
        <v>0.81261905631528752</v>
      </c>
      <c r="O13" s="88">
        <f t="shared" si="7"/>
        <v>1</v>
      </c>
      <c r="P13" s="84">
        <f t="shared" si="8"/>
        <v>0</v>
      </c>
      <c r="Q13" s="85">
        <f t="shared" si="0"/>
        <v>0</v>
      </c>
      <c r="R13" s="86">
        <f t="shared" si="1"/>
        <v>21.754790222980041</v>
      </c>
      <c r="S13" s="94">
        <f t="shared" si="2"/>
        <v>0</v>
      </c>
      <c r="T13" s="80">
        <f t="shared" si="9"/>
        <v>0</v>
      </c>
      <c r="W13" s="73"/>
    </row>
    <row r="14" spans="1:24" x14ac:dyDescent="0.25">
      <c r="H14" s="59">
        <f>H13+1</f>
        <v>2028</v>
      </c>
      <c r="I14" s="97">
        <f t="shared" si="10"/>
        <v>126566.9201495047</v>
      </c>
      <c r="J14" s="60">
        <f t="shared" si="4"/>
        <v>17169077.863758896</v>
      </c>
      <c r="K14" s="60">
        <f>IF(H14=Year_Open_to_Traffic?,Calculations!$E$4,K13+(K13*M14))</f>
        <v>14328605.423063494</v>
      </c>
      <c r="L14" s="60">
        <f>IF(AND(H14&gt;=Year_Open_to_Traffic?, Calculations!H14&lt;Year_Open_to_Traffic?+'Inputs &amp; Outputs'!B$21), 1, 0)</f>
        <v>1</v>
      </c>
      <c r="M14" s="81">
        <f t="shared" si="11"/>
        <v>5.8564919923220771E-3</v>
      </c>
      <c r="N14" s="87">
        <f t="shared" si="12"/>
        <v>0.81737815331140629</v>
      </c>
      <c r="O14" s="88">
        <f t="shared" si="7"/>
        <v>1</v>
      </c>
      <c r="P14" s="84">
        <f t="shared" si="8"/>
        <v>2840472.4406954013</v>
      </c>
      <c r="Q14" s="85">
        <f t="shared" si="0"/>
        <v>1</v>
      </c>
      <c r="R14" s="86">
        <f t="shared" si="1"/>
        <v>22.255150398108579</v>
      </c>
      <c r="S14" s="94">
        <f t="shared" si="2"/>
        <v>87869.046503408594</v>
      </c>
      <c r="T14" s="80">
        <f t="shared" si="9"/>
        <v>44668.167590560355</v>
      </c>
      <c r="W14" s="73"/>
    </row>
    <row r="15" spans="1:24" x14ac:dyDescent="0.25">
      <c r="H15" s="15">
        <f t="shared" si="3"/>
        <v>2029</v>
      </c>
      <c r="I15" s="97">
        <f t="shared" si="10"/>
        <v>127308.15830385314</v>
      </c>
      <c r="J15" s="60">
        <f t="shared" si="4"/>
        <v>17269628.430783555</v>
      </c>
      <c r="K15" s="60">
        <f>IF(H15=Year_Open_to_Traffic?,Calculations!$E$4,K14+(K14*M15))</f>
        <v>14412520.785984809</v>
      </c>
      <c r="L15" s="60">
        <f>IF(AND(H15&gt;=Year_Open_to_Traffic?, Calculations!H15&lt;Year_Open_to_Traffic?+'Inputs &amp; Outputs'!B$21), 1, 0)</f>
        <v>1</v>
      </c>
      <c r="M15" s="81">
        <f t="shared" si="11"/>
        <v>5.8564919923220771E-3</v>
      </c>
      <c r="N15" s="87">
        <f t="shared" si="12"/>
        <v>0.82216512192097357</v>
      </c>
      <c r="O15" s="88">
        <f t="shared" si="7"/>
        <v>1</v>
      </c>
      <c r="P15" s="84">
        <f t="shared" si="8"/>
        <v>2857107.6447987463</v>
      </c>
      <c r="Q15" s="85">
        <f t="shared" si="0"/>
        <v>1</v>
      </c>
      <c r="R15" s="86">
        <f t="shared" si="1"/>
        <v>22.767018857265079</v>
      </c>
      <c r="S15" s="94">
        <f t="shared" si="2"/>
        <v>90416.474840653289</v>
      </c>
      <c r="T15" s="80">
        <f t="shared" si="9"/>
        <v>42956.215871553846</v>
      </c>
      <c r="W15" s="73"/>
    </row>
    <row r="16" spans="1:24" x14ac:dyDescent="0.25">
      <c r="H16" s="59">
        <f t="shared" si="3"/>
        <v>2030</v>
      </c>
      <c r="I16" s="97">
        <f t="shared" si="10"/>
        <v>128053.73751351693</v>
      </c>
      <c r="J16" s="60">
        <f t="shared" si="4"/>
        <v>17370767.871398818</v>
      </c>
      <c r="K16" s="60">
        <f>IF(H16=Year_Open_to_Traffic?,Calculations!$E$4,K15+(K15*M16))</f>
        <v>14496927.598557103</v>
      </c>
      <c r="L16" s="60">
        <f>IF(AND(H16&gt;=Year_Open_to_Traffic?, Calculations!H16&lt;Year_Open_to_Traffic?+'Inputs &amp; Outputs'!B$21), 1, 0)</f>
        <v>1</v>
      </c>
      <c r="M16" s="81">
        <f t="shared" si="11"/>
        <v>5.8564919923220771E-3</v>
      </c>
      <c r="N16" s="87">
        <f t="shared" si="12"/>
        <v>0.82698012537387022</v>
      </c>
      <c r="O16" s="88">
        <f t="shared" si="7"/>
        <v>1</v>
      </c>
      <c r="P16" s="84">
        <f t="shared" si="8"/>
        <v>2873840.2728417143</v>
      </c>
      <c r="Q16" s="85">
        <f t="shared" si="0"/>
        <v>1</v>
      </c>
      <c r="R16" s="86">
        <f t="shared" si="1"/>
        <v>23.290660290982171</v>
      </c>
      <c r="S16" s="94">
        <f t="shared" si="2"/>
        <v>93037.756160166842</v>
      </c>
      <c r="T16" s="80">
        <f t="shared" si="9"/>
        <v>41309.876396037471</v>
      </c>
      <c r="W16" s="73"/>
    </row>
    <row r="17" spans="1:23" x14ac:dyDescent="0.25">
      <c r="A17" s="29"/>
      <c r="H17" s="15">
        <f t="shared" si="3"/>
        <v>2031</v>
      </c>
      <c r="I17" s="97">
        <f t="shared" si="10"/>
        <v>128803.68320185176</v>
      </c>
      <c r="J17" s="60">
        <f t="shared" si="4"/>
        <v>17472499.634338152</v>
      </c>
      <c r="K17" s="60">
        <f>IF(H17=Year_Open_to_Traffic?,Calculations!$E$4,K16+(K16*M17))</f>
        <v>14581828.738951325</v>
      </c>
      <c r="L17" s="60">
        <f>IF(AND(H17&gt;=Year_Open_to_Traffic?, Calculations!H17&lt;Year_Open_to_Traffic?+'Inputs &amp; Outputs'!B$21), 1, 0)</f>
        <v>1</v>
      </c>
      <c r="M17" s="81">
        <f t="shared" si="11"/>
        <v>5.8564919923220771E-3</v>
      </c>
      <c r="N17" s="87">
        <f t="shared" si="12"/>
        <v>0.83182332785593183</v>
      </c>
      <c r="O17" s="88">
        <f t="shared" si="7"/>
        <v>1</v>
      </c>
      <c r="P17" s="84">
        <f t="shared" si="8"/>
        <v>2890670.8953868262</v>
      </c>
      <c r="Q17" s="85">
        <f t="shared" si="0"/>
        <v>1</v>
      </c>
      <c r="R17" s="86">
        <f t="shared" si="1"/>
        <v>23.82634547767476</v>
      </c>
      <c r="S17" s="94">
        <f t="shared" si="2"/>
        <v>95735.031547886872</v>
      </c>
      <c r="T17" s="80">
        <f t="shared" si="9"/>
        <v>39726.634509860603</v>
      </c>
      <c r="W17" s="73"/>
    </row>
    <row r="18" spans="1:23" x14ac:dyDescent="0.25">
      <c r="H18" s="59">
        <f t="shared" si="3"/>
        <v>2032</v>
      </c>
      <c r="I18" s="97">
        <f t="shared" si="10"/>
        <v>129558.02094110499</v>
      </c>
      <c r="J18" s="60">
        <f t="shared" si="4"/>
        <v>17574827.188532505</v>
      </c>
      <c r="K18" s="60">
        <f>IF(H18=Year_Open_to_Traffic?,Calculations!$E$4,K17+(K17*M18))</f>
        <v>14667227.102194406</v>
      </c>
      <c r="L18" s="60">
        <f>IF(AND(H18&gt;=Year_Open_to_Traffic?, Calculations!H18&lt;Year_Open_to_Traffic?+'Inputs &amp; Outputs'!B$21), 1, 0)</f>
        <v>1</v>
      </c>
      <c r="M18" s="81">
        <f t="shared" si="11"/>
        <v>5.8564919923220771E-3</v>
      </c>
      <c r="N18" s="87">
        <f t="shared" si="12"/>
        <v>0.83669489451454682</v>
      </c>
      <c r="O18" s="88">
        <f t="shared" si="7"/>
        <v>1</v>
      </c>
      <c r="P18" s="84">
        <f t="shared" si="8"/>
        <v>2907600.0863380991</v>
      </c>
      <c r="Q18" s="85">
        <f t="shared" si="0"/>
        <v>1</v>
      </c>
      <c r="R18" s="86">
        <f t="shared" si="1"/>
        <v>24.374351423661277</v>
      </c>
      <c r="S18" s="94">
        <f t="shared" si="2"/>
        <v>98510.504162383048</v>
      </c>
      <c r="T18" s="80">
        <f t="shared" si="9"/>
        <v>38204.071935481094</v>
      </c>
      <c r="W18" s="73"/>
    </row>
    <row r="19" spans="1:23" x14ac:dyDescent="0.25">
      <c r="H19" s="15">
        <f t="shared" si="3"/>
        <v>2033</v>
      </c>
      <c r="I19" s="97">
        <f t="shared" si="10"/>
        <v>130316.77645328766</v>
      </c>
      <c r="J19" s="60">
        <f t="shared" si="4"/>
        <v>17677754.023228589</v>
      </c>
      <c r="K19" s="60">
        <f>IF(H19=Year_Open_to_Traffic?,Calculations!$E$4,K18+(K18*M19))</f>
        <v>14753125.600267977</v>
      </c>
      <c r="L19" s="60">
        <f>IF(AND(H19&gt;=Year_Open_to_Traffic?, Calculations!H19&lt;Year_Open_to_Traffic?+'Inputs &amp; Outputs'!B$21), 1, 0)</f>
        <v>1</v>
      </c>
      <c r="M19" s="81">
        <f t="shared" si="11"/>
        <v>5.8564919923220771E-3</v>
      </c>
      <c r="N19" s="87">
        <f t="shared" si="12"/>
        <v>0.84159499146428807</v>
      </c>
      <c r="O19" s="88">
        <f t="shared" si="7"/>
        <v>1</v>
      </c>
      <c r="P19" s="84">
        <f t="shared" si="8"/>
        <v>2924628.4229606129</v>
      </c>
      <c r="Q19" s="85">
        <f t="shared" si="0"/>
        <v>1</v>
      </c>
      <c r="R19" s="86">
        <f t="shared" si="1"/>
        <v>24.934961506405479</v>
      </c>
      <c r="S19" s="94">
        <f t="shared" si="2"/>
        <v>101366.44103441651</v>
      </c>
      <c r="T19" s="80">
        <f t="shared" si="9"/>
        <v>36739.863078236216</v>
      </c>
      <c r="W19" s="73"/>
    </row>
    <row r="20" spans="1:23" x14ac:dyDescent="0.25">
      <c r="H20" s="59">
        <f t="shared" si="3"/>
        <v>2034</v>
      </c>
      <c r="I20" s="97">
        <f t="shared" si="10"/>
        <v>131079.97561105157</v>
      </c>
      <c r="J20" s="60">
        <f t="shared" si="4"/>
        <v>17781283.648107868</v>
      </c>
      <c r="K20" s="60">
        <f>IF(H20=Year_Open_to_Traffic?,Calculations!$E$4,K19+(K19*M20))</f>
        <v>14839527.162207669</v>
      </c>
      <c r="L20" s="60">
        <f>IF(AND(H20&gt;=Year_Open_to_Traffic?, Calculations!H20&lt;Year_Open_to_Traffic?+'Inputs &amp; Outputs'!B$21), 1, 0)</f>
        <v>1</v>
      </c>
      <c r="M20" s="81">
        <f t="shared" si="11"/>
        <v>5.8564919923220771E-3</v>
      </c>
      <c r="N20" s="87">
        <f t="shared" si="12"/>
        <v>0.84652378579257703</v>
      </c>
      <c r="O20" s="88">
        <f t="shared" si="7"/>
        <v>1</v>
      </c>
      <c r="P20" s="84">
        <f t="shared" si="8"/>
        <v>2941756.485900199</v>
      </c>
      <c r="Q20" s="85">
        <f t="shared" si="0"/>
        <v>1</v>
      </c>
      <c r="R20" s="86">
        <f t="shared" si="1"/>
        <v>25.508465621052807</v>
      </c>
      <c r="S20" s="94">
        <f t="shared" si="2"/>
        <v>104305.17491867112</v>
      </c>
      <c r="T20" s="80">
        <f t="shared" si="9"/>
        <v>35331.771474179848</v>
      </c>
      <c r="W20" s="73"/>
    </row>
    <row r="21" spans="1:23" x14ac:dyDescent="0.25">
      <c r="H21" s="15">
        <f t="shared" si="3"/>
        <v>2035</v>
      </c>
      <c r="I21" s="97">
        <f t="shared" si="10"/>
        <v>131847.64443857147</v>
      </c>
      <c r="J21" s="60">
        <f t="shared" si="4"/>
        <v>17885419.593406219</v>
      </c>
      <c r="K21" s="60">
        <f>IF(H21=Year_Open_to_Traffic?,Calculations!$E$4,K20+(K20*M21))</f>
        <v>14926434.734202985</v>
      </c>
      <c r="L21" s="60">
        <f>IF(AND(H21&gt;=Year_Open_to_Traffic?, Calculations!H21&lt;Year_Open_to_Traffic?+'Inputs &amp; Outputs'!B$21), 1, 0)</f>
        <v>1</v>
      </c>
      <c r="M21" s="81">
        <f t="shared" si="11"/>
        <v>5.8564919923220771E-3</v>
      </c>
      <c r="N21" s="87">
        <f t="shared" si="12"/>
        <v>0.85148144556538141</v>
      </c>
      <c r="O21" s="88">
        <f t="shared" si="7"/>
        <v>1</v>
      </c>
      <c r="P21" s="84">
        <f t="shared" si="8"/>
        <v>2958984.8592032343</v>
      </c>
      <c r="Q21" s="85">
        <f t="shared" si="0"/>
        <v>1</v>
      </c>
      <c r="R21" s="86">
        <f t="shared" si="1"/>
        <v>26.095160330337016</v>
      </c>
      <c r="S21" s="94">
        <f t="shared" si="2"/>
        <v>107329.10619916786</v>
      </c>
      <c r="T21" s="80">
        <f t="shared" si="9"/>
        <v>33977.64637405931</v>
      </c>
      <c r="W21" s="73"/>
    </row>
    <row r="22" spans="1:23" x14ac:dyDescent="0.25">
      <c r="H22" s="59">
        <f>H21+1</f>
        <v>2036</v>
      </c>
      <c r="I22" s="97">
        <f t="shared" si="10"/>
        <v>132619.8091124325</v>
      </c>
      <c r="J22" s="60">
        <f t="shared" si="4"/>
        <v>17990165.410034321</v>
      </c>
      <c r="K22" s="60">
        <f>IF(H22=Year_Open_to_Traffic?,Calculations!$E$4,K21+(K21*M22))</f>
        <v>15013851.279697763</v>
      </c>
      <c r="L22" s="60">
        <f>IF(AND(H22&gt;=Year_Open_to_Traffic?, Calculations!H22&lt;Year_Open_to_Traffic?+'Inputs &amp; Outputs'!B$21), 1, 0)</f>
        <v>1</v>
      </c>
      <c r="M22" s="81">
        <f t="shared" si="11"/>
        <v>5.8564919923220771E-3</v>
      </c>
      <c r="N22" s="87">
        <f t="shared" si="12"/>
        <v>0.8564681398329459</v>
      </c>
      <c r="O22" s="88">
        <f t="shared" si="7"/>
        <v>1</v>
      </c>
      <c r="P22" s="84">
        <f t="shared" si="8"/>
        <v>2976314.1303365584</v>
      </c>
      <c r="Q22" s="85">
        <f t="shared" si="0"/>
        <v>1</v>
      </c>
      <c r="R22" s="86">
        <f t="shared" si="1"/>
        <v>26.695349017934767</v>
      </c>
      <c r="S22" s="94">
        <f t="shared" si="2"/>
        <v>110440.70484992012</v>
      </c>
      <c r="T22" s="80">
        <f t="shared" si="9"/>
        <v>32675.419458215099</v>
      </c>
      <c r="W22" s="73"/>
    </row>
    <row r="23" spans="1:23" x14ac:dyDescent="0.25">
      <c r="H23" s="15">
        <f t="shared" si="3"/>
        <v>2037</v>
      </c>
      <c r="I23" s="97">
        <f t="shared" si="10"/>
        <v>133396.49596252275</v>
      </c>
      <c r="J23" s="60">
        <f t="shared" si="4"/>
        <v>18095524.669698738</v>
      </c>
      <c r="K23" s="60">
        <f>IF(H23=Year_Open_to_Traffic?,Calculations!$E$4,K22+(K22*M23))</f>
        <v>15101779.779491227</v>
      </c>
      <c r="L23" s="60">
        <f>IF(AND(H23&gt;=Year_Open_to_Traffic?, Calculations!H23&lt;Year_Open_to_Traffic?+'Inputs &amp; Outputs'!B$21), 1, 0)</f>
        <v>1</v>
      </c>
      <c r="M23" s="81">
        <f t="shared" si="11"/>
        <v>5.8564919923220771E-3</v>
      </c>
      <c r="N23" s="87">
        <f t="shared" si="12"/>
        <v>0.86148403863555656</v>
      </c>
      <c r="O23" s="88">
        <f t="shared" si="7"/>
        <v>1</v>
      </c>
      <c r="P23" s="84">
        <f t="shared" si="8"/>
        <v>2993744.8902075104</v>
      </c>
      <c r="Q23" s="85">
        <f t="shared" si="0"/>
        <v>1</v>
      </c>
      <c r="R23" s="86">
        <f t="shared" si="1"/>
        <v>27.309342045347261</v>
      </c>
      <c r="S23" s="94">
        <f t="shared" si="2"/>
        <v>113642.5124524306</v>
      </c>
      <c r="T23" s="80">
        <f t="shared" si="9"/>
        <v>31423.101677385155</v>
      </c>
      <c r="W23" s="73"/>
    </row>
    <row r="24" spans="1:23" x14ac:dyDescent="0.25">
      <c r="H24" s="59">
        <f t="shared" si="3"/>
        <v>2038</v>
      </c>
      <c r="I24" s="97">
        <f t="shared" si="10"/>
        <v>134177.73147293107</v>
      </c>
      <c r="J24" s="60">
        <f t="shared" si="4"/>
        <v>18201500.965023696</v>
      </c>
      <c r="K24" s="60">
        <f>IF(H24=Year_Open_to_Traffic?,Calculations!$E$4,K23+(K23*M24))</f>
        <v>15190223.231839629</v>
      </c>
      <c r="L24" s="60">
        <f>IF(AND(H24&gt;=Year_Open_to_Traffic?, Calculations!H24&lt;Year_Open_to_Traffic?+'Inputs &amp; Outputs'!B$21), 1, 0)</f>
        <v>1</v>
      </c>
      <c r="M24" s="81">
        <f t="shared" si="11"/>
        <v>5.8564919923220771E-3</v>
      </c>
      <c r="N24" s="87">
        <f t="shared" si="12"/>
        <v>0.866529313009339</v>
      </c>
      <c r="O24" s="88">
        <f t="shared" si="7"/>
        <v>1</v>
      </c>
      <c r="P24" s="84">
        <f>(J24-K24)*L24</f>
        <v>3011277.7331840675</v>
      </c>
      <c r="Q24" s="85">
        <f t="shared" si="0"/>
        <v>1</v>
      </c>
      <c r="R24" s="86">
        <f t="shared" si="1"/>
        <v>27.93745691239025</v>
      </c>
      <c r="S24" s="94">
        <f t="shared" si="2"/>
        <v>116937.14427167737</v>
      </c>
      <c r="T24" s="80">
        <f t="shared" si="9"/>
        <v>30218.780214588365</v>
      </c>
      <c r="W24" s="73"/>
    </row>
    <row r="25" spans="1:23" x14ac:dyDescent="0.25">
      <c r="H25" s="15">
        <f t="shared" si="3"/>
        <v>2039</v>
      </c>
      <c r="I25" s="97">
        <f t="shared" si="10"/>
        <v>134963.54228285025</v>
      </c>
      <c r="J25" s="60">
        <f t="shared" si="4"/>
        <v>18308097.909673601</v>
      </c>
      <c r="K25" s="60">
        <f>IF(H25=Year_Open_to_Traffic?,Calculations!$E$4,K24+(K24*M25))</f>
        <v>15279184.652558483</v>
      </c>
      <c r="L25" s="60">
        <f>IF(AND(H25&gt;=Year_Open_to_Traffic?, Calculations!H25&lt;Year_Open_to_Traffic?+'Inputs &amp; Outputs'!B$21), 1, 0)</f>
        <v>1</v>
      </c>
      <c r="M25" s="81">
        <f t="shared" si="11"/>
        <v>5.8564919923220771E-3</v>
      </c>
      <c r="N25" s="87">
        <f t="shared" si="12"/>
        <v>0.87160413499209055</v>
      </c>
      <c r="O25" s="88">
        <f t="shared" si="7"/>
        <v>1</v>
      </c>
      <c r="P25" s="84">
        <f t="shared" si="8"/>
        <v>3028913.2571151182</v>
      </c>
      <c r="Q25" s="85">
        <f t="shared" si="0"/>
        <v>1</v>
      </c>
      <c r="R25" s="86">
        <f t="shared" si="1"/>
        <v>28.580018421375218</v>
      </c>
      <c r="S25" s="94">
        <f t="shared" si="2"/>
        <v>120327.29139228578</v>
      </c>
      <c r="T25" s="80">
        <f t="shared" si="9"/>
        <v>29060.615563447005</v>
      </c>
      <c r="W25" s="73"/>
    </row>
    <row r="26" spans="1:23" x14ac:dyDescent="0.25">
      <c r="H26" s="59">
        <f t="shared" si="3"/>
        <v>2040</v>
      </c>
      <c r="I26" s="97">
        <f t="shared" si="10"/>
        <v>135753.95518748517</v>
      </c>
      <c r="J26" s="60">
        <f t="shared" si="4"/>
        <v>18415319.138476253</v>
      </c>
      <c r="K26" s="60">
        <f>IF(H26=Year_Open_to_Traffic?,Calculations!$E$4,K25+(K25*M26))</f>
        <v>15368667.075125402</v>
      </c>
      <c r="L26" s="60">
        <f>IF(AND(H26&gt;=Year_Open_to_Traffic?, Calculations!H26&lt;Year_Open_to_Traffic?+'Inputs &amp; Outputs'!B$21), 1, 0)</f>
        <v>0</v>
      </c>
      <c r="M26" s="81">
        <f t="shared" si="11"/>
        <v>5.8564919923220771E-3</v>
      </c>
      <c r="N26" s="87">
        <f t="shared" si="12"/>
        <v>0.8767086776291465</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136548.99713896672</v>
      </c>
      <c r="J27" s="60">
        <f t="shared" si="4"/>
        <v>18523168.307546794</v>
      </c>
      <c r="K27" s="60">
        <f>IF(H27=Year_Open_to_Traffic?,Calculations!$E$4,K26+(K26*M27))</f>
        <v>15458673.550783537</v>
      </c>
      <c r="L27" s="60">
        <f>IF(AND(H27&gt;=Year_Open_to_Traffic?, Calculations!H27&lt;Year_Open_to_Traffic?+'Inputs &amp; Outputs'!B$21), 1, 0)</f>
        <v>0</v>
      </c>
      <c r="M27" s="81">
        <f t="shared" si="11"/>
        <v>5.8564919923220771E-3</v>
      </c>
      <c r="N27" s="87">
        <f t="shared" si="12"/>
        <v>0.88184311497928092</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137348.69524727069</v>
      </c>
      <c r="J28" s="60">
        <f t="shared" si="4"/>
        <v>18631649.094412375</v>
      </c>
      <c r="K28" s="60">
        <f>IF(H28=Year_Open_to_Traffic?,Calculations!$E$4,K27+(K27*M28))</f>
        <v>15549207.148645623</v>
      </c>
      <c r="L28" s="60">
        <f>IF(AND(H28&gt;=Year_Open_to_Traffic?, Calculations!H28&lt;Year_Open_to_Traffic?+'Inputs &amp; Outputs'!B$21), 1, 0)</f>
        <v>0</v>
      </c>
      <c r="M28" s="81">
        <f t="shared" si="11"/>
        <v>5.8564919923220771E-3</v>
      </c>
      <c r="N28" s="87">
        <f t="shared" si="12"/>
        <v>0.88700762212064144</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138153.07678114221</v>
      </c>
      <c r="J29" s="60">
        <f t="shared" si="4"/>
        <v>18740765.198137555</v>
      </c>
      <c r="K29" s="60">
        <f>IF(H29=Year_Open_to_Traffic?,Calculations!$E$4,K28+(K28*M29))</f>
        <v>15640270.955798622</v>
      </c>
      <c r="L29" s="60">
        <f>IF(AND(H29&gt;=Year_Open_to_Traffic?, Calculations!H29&lt;Year_Open_to_Traffic?+'Inputs &amp; Outputs'!B$21), 1, 0)</f>
        <v>0</v>
      </c>
      <c r="M29" s="81">
        <f t="shared" si="11"/>
        <v>5.8564919923220771E-3</v>
      </c>
      <c r="N29" s="87">
        <f t="shared" si="12"/>
        <v>0.89220237515671963</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138962.16916902564</v>
      </c>
      <c r="J30" s="60">
        <f t="shared" si="4"/>
        <v>18850520.339450438</v>
      </c>
      <c r="K30" s="60">
        <f>IF(H30=Year_Open_to_Traffic?,Calculations!$E$4,K29+(K29*M30))</f>
        <v>15731868.077409005</v>
      </c>
      <c r="L30" s="60">
        <f>IF(AND(H30&gt;=Year_Open_to_Traffic?, Calculations!H30&lt;Year_Open_to_Traffic?+'Inputs &amp; Outputs'!B$21), 1, 0)</f>
        <v>0</v>
      </c>
      <c r="M30" s="81">
        <f t="shared" si="11"/>
        <v>5.8564919923220771E-3</v>
      </c>
      <c r="N30" s="87">
        <f t="shared" si="12"/>
        <v>0.89742755122235573</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139775.99999999974</v>
      </c>
      <c r="J31" s="60">
        <f t="shared" si="4"/>
        <v>18960918.260869533</v>
      </c>
      <c r="K31" s="60">
        <f>IF(H31=Year_Open_to_Traffic?,Calculations!$E$4,K30+(K30*M31))</f>
        <v>15824001.636828618</v>
      </c>
      <c r="L31" s="60">
        <f>IF(AND(H31&gt;=Year_Open_to_Traffic?, Calculations!H31&lt;Year_Open_to_Traffic?+'Inputs &amp; Outputs'!B$21), 1, 0)</f>
        <v>0</v>
      </c>
      <c r="M31" s="81">
        <f t="shared" si="11"/>
        <v>5.8564919923220771E-3</v>
      </c>
      <c r="N31" s="87">
        <f t="shared" si="12"/>
        <v>0.90268332848977872</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140594.59702471856</v>
      </c>
      <c r="J32" s="60">
        <f t="shared" si="4"/>
        <v>19071962.726831388</v>
      </c>
      <c r="K32" s="60">
        <f>IF(H32=Year_Open_to_Traffic?,Calculations!$E$4,K31+(K31*M32))</f>
        <v>15916674.775701197</v>
      </c>
      <c r="L32" s="60">
        <f>IF(AND(H32&gt;=Year_Open_to_Traffic?, Calculations!H32&lt;Year_Open_to_Traffic?+'Inputs &amp; Outputs'!B$21), 1, 0)</f>
        <v>0</v>
      </c>
      <c r="M32" s="81">
        <f t="shared" si="11"/>
        <v>5.8564919923220771E-3</v>
      </c>
      <c r="N32" s="87">
        <f t="shared" si="12"/>
        <v>0.90796988617468177</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141417.98815635758</v>
      </c>
      <c r="J33" s="60">
        <f t="shared" si="4"/>
        <v>19183657.52381894</v>
      </c>
      <c r="K33" s="60">
        <f>IF(H33=Year_Open_to_Traffic?,Calculations!$E$4,K32+(K32*M33))</f>
        <v>16009890.654069485</v>
      </c>
      <c r="L33" s="60">
        <f>IF(AND(H33&gt;=Year_Open_to_Traffic?, Calculations!H33&lt;Year_Open_to_Traffic?+'Inputs &amp; Outputs'!B$21), 1, 0)</f>
        <v>0</v>
      </c>
      <c r="M33" s="81">
        <f t="shared" si="11"/>
        <v>5.8564919923220771E-3</v>
      </c>
      <c r="N33" s="87">
        <f t="shared" si="12"/>
        <v>0.91328740454233337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142246.20147156558</v>
      </c>
      <c r="J34" s="60">
        <f t="shared" si="4"/>
        <v>19296006.460490637</v>
      </c>
      <c r="K34" s="60">
        <f>IF(H34=Year_Open_to_Traffic?,Calculations!$E$4,K33+(K33*M34))</f>
        <v>16103652.450482994</v>
      </c>
      <c r="L34" s="60">
        <f>IF(AND(H34&gt;=Year_Open_to_Traffic?, Calculations!H34&lt;Year_Open_to_Traffic?+'Inputs &amp; Outputs'!B$21), 1, 0)</f>
        <v>0</v>
      </c>
      <c r="M34" s="81">
        <f t="shared" si="11"/>
        <v>5.8564919923220771E-3</v>
      </c>
      <c r="N34" s="87">
        <f t="shared" si="12"/>
        <v>0.91863606491372418</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143079.26521142203</v>
      </c>
      <c r="J35" s="60">
        <f t="shared" si="4"/>
        <v>19409013.367810294</v>
      </c>
      <c r="K35" s="60">
        <f>IF(H35=Year_Open_to_Traffic?,Calculations!$E$4,K34+(K34*M35))</f>
        <v>16197963.362106387</v>
      </c>
      <c r="L35" s="60">
        <f>IF(AND(H35&gt;=Year_Open_to_Traffic?, Calculations!H35&lt;Year_Open_to_Traffic?+'Inputs &amp; Outputs'!B$21), 1, 0)</f>
        <v>0</v>
      </c>
      <c r="M35" s="81">
        <f t="shared" si="11"/>
        <v>5.8564919923220771E-3</v>
      </c>
      <c r="N35" s="87">
        <f t="shared" si="12"/>
        <v>0.92401604967174966</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143917.20778240004</v>
      </c>
      <c r="J36" s="60">
        <f t="shared" si="4"/>
        <v>19522682.099177748</v>
      </c>
      <c r="K36" s="60">
        <f>IF(H36=Year_Open_to_Traffic?,Calculations!$E$4,K35+(K35*M36))</f>
        <v>16292826.604828488</v>
      </c>
      <c r="L36" s="60">
        <f>IF(AND(H36&gt;=Year_Open_to_Traffic?, Calculations!H36&lt;Year_Open_to_Traffic?+'Inputs &amp; Outputs'!B$21), 1, 0)</f>
        <v>0</v>
      </c>
      <c r="M36" s="81">
        <f t="shared" si="11"/>
        <v>5.8564919923220771E-3</v>
      </c>
      <c r="N36" s="87">
        <f t="shared" si="12"/>
        <v>0.9294275422674293</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436292.16414360446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4" workbookViewId="0">
      <selection activeCell="B56" sqref="B5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2018-10-31T15:11:50Z</dcterms:modified>
</cp:coreProperties>
</file>