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4_HW_SH146/"/>
    </mc:Choice>
  </mc:AlternateContent>
  <xr:revisionPtr revIDLastSave="8" documentId="10_ncr:100000_{96030A43-FC03-4869-8D4D-22326FC114EB}" xr6:coauthVersionLast="40" xr6:coauthVersionMax="40" xr10:uidLastSave="{D120ECD4-946D-4BF7-B3D2-54436241BA6D}"/>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11" i="19"/>
  <c r="H36" i="19"/>
  <c r="H27" i="19"/>
  <c r="H19" i="19"/>
  <c r="H29" i="19"/>
  <c r="H21" i="19"/>
  <c r="H34" i="19"/>
  <c r="H25" i="19"/>
  <c r="H33" i="19"/>
  <c r="H12" i="19"/>
  <c r="G12" i="19"/>
  <c r="H24" i="19"/>
  <c r="H23" i="19"/>
  <c r="H15" i="19"/>
  <c r="H30" i="19"/>
  <c r="H22" i="19"/>
  <c r="H8"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H4" i="7"/>
  <c r="G4" i="5"/>
  <c r="G5" i="5"/>
  <c r="G6" i="5"/>
  <c r="G7" i="5"/>
  <c r="G8" i="5"/>
  <c r="G9" i="5"/>
  <c r="G10" i="5"/>
  <c r="G11" i="5"/>
  <c r="G12" i="5"/>
  <c r="G13" i="5"/>
  <c r="G14" i="5"/>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H7" i="19"/>
  <c r="H5" i="19"/>
  <c r="G5" i="19"/>
  <c r="N5" i="19"/>
  <c r="N31" i="19"/>
  <c r="O31" i="19"/>
  <c r="P31" i="19"/>
  <c r="Q31" i="19"/>
  <c r="J11" i="19"/>
  <c r="K11" i="19"/>
  <c r="L11" i="19"/>
  <c r="M11" i="19"/>
  <c r="J31" i="19"/>
  <c r="N11" i="19"/>
  <c r="O11" i="19"/>
  <c r="P11" i="19"/>
  <c r="Q11" i="19"/>
  <c r="J4" i="19"/>
  <c r="N4" i="19"/>
  <c r="O4" i="19"/>
  <c r="P4" i="19"/>
  <c r="Q4" i="19"/>
  <c r="H9" i="19"/>
  <c r="H10" i="19"/>
  <c r="H18" i="19"/>
  <c r="H20" i="19"/>
  <c r="H32" i="19"/>
  <c r="G32" i="19"/>
  <c r="H26" i="19"/>
  <c r="H28" i="19"/>
  <c r="H16" i="19"/>
  <c r="H13" i="19"/>
  <c r="G13" i="19"/>
  <c r="J12" i="19"/>
  <c r="N12" i="19"/>
  <c r="O12" i="19"/>
  <c r="P12" i="19"/>
  <c r="Q12" i="19"/>
  <c r="G33" i="19"/>
  <c r="J32" i="19"/>
  <c r="N32" i="19"/>
  <c r="O32" i="19"/>
  <c r="P32" i="19"/>
  <c r="Q32" i="19"/>
  <c r="H6" i="19"/>
  <c r="G6" i="19"/>
  <c r="J5" i="19"/>
  <c r="H31" i="19"/>
  <c r="H17" i="19"/>
  <c r="H35" i="19"/>
  <c r="T11" i="19"/>
  <c r="U11" i="19"/>
  <c r="T4" i="19"/>
  <c r="U4" i="19"/>
  <c r="K4" i="19"/>
  <c r="L4" i="19"/>
  <c r="M4" i="19"/>
  <c r="T31" i="19"/>
  <c r="U31" i="19"/>
  <c r="K31" i="19"/>
  <c r="L31" i="19"/>
  <c r="M31" i="19"/>
  <c r="T32" i="19"/>
  <c r="U32" i="19"/>
  <c r="K32" i="19"/>
  <c r="L32" i="19"/>
  <c r="M32" i="19"/>
  <c r="J33" i="19"/>
  <c r="G34" i="19"/>
  <c r="N33" i="19"/>
  <c r="O33" i="19"/>
  <c r="P33" i="19"/>
  <c r="Q33" i="19"/>
  <c r="K5" i="19"/>
  <c r="T5" i="19"/>
  <c r="J13" i="19"/>
  <c r="G14" i="19"/>
  <c r="N13" i="19"/>
  <c r="O13" i="19"/>
  <c r="P13" i="19"/>
  <c r="Q13" i="19"/>
  <c r="O5" i="19"/>
  <c r="J6" i="19"/>
  <c r="N6" i="19"/>
  <c r="O6" i="19"/>
  <c r="P6" i="19"/>
  <c r="Q6" i="19"/>
  <c r="G7" i="19"/>
  <c r="K12" i="19"/>
  <c r="L12" i="19"/>
  <c r="M12" i="19"/>
  <c r="T12" i="19"/>
  <c r="U12" i="19"/>
  <c r="U5" i="19"/>
  <c r="T6" i="19"/>
  <c r="U6" i="19"/>
  <c r="K6" i="19"/>
  <c r="L6" i="19"/>
  <c r="M6" i="19"/>
  <c r="L5" i="19"/>
  <c r="N7" i="19"/>
  <c r="O7" i="19"/>
  <c r="P7" i="19"/>
  <c r="Q7" i="19"/>
  <c r="G8" i="19"/>
  <c r="J7" i="19"/>
  <c r="N34" i="19"/>
  <c r="O34" i="19"/>
  <c r="P34" i="19"/>
  <c r="Q34" i="19"/>
  <c r="G35" i="19"/>
  <c r="J34" i="19"/>
  <c r="T33" i="19"/>
  <c r="U33" i="19"/>
  <c r="K33" i="19"/>
  <c r="L33" i="19"/>
  <c r="M33" i="19"/>
  <c r="P5" i="19"/>
  <c r="G15" i="19"/>
  <c r="J14" i="19"/>
  <c r="N14" i="19"/>
  <c r="O14" i="19"/>
  <c r="P14" i="19"/>
  <c r="Q14" i="19"/>
  <c r="T13" i="19"/>
  <c r="U13" i="19"/>
  <c r="K13" i="19"/>
  <c r="L13" i="19"/>
  <c r="M13" i="19"/>
  <c r="T34" i="19"/>
  <c r="U34" i="19"/>
  <c r="K34" i="19"/>
  <c r="L34" i="19"/>
  <c r="M34" i="19"/>
  <c r="M5" i="19"/>
  <c r="Q5" i="19"/>
  <c r="N35" i="19"/>
  <c r="O35" i="19"/>
  <c r="P35" i="19"/>
  <c r="Q35" i="19"/>
  <c r="G36" i="19"/>
  <c r="J35" i="19"/>
  <c r="K14" i="19"/>
  <c r="L14" i="19"/>
  <c r="M14" i="19"/>
  <c r="T14" i="19"/>
  <c r="U14" i="19"/>
  <c r="G16" i="19"/>
  <c r="N15" i="19"/>
  <c r="O15" i="19"/>
  <c r="P15" i="19"/>
  <c r="Q15" i="19"/>
  <c r="J15" i="19"/>
  <c r="G9" i="19"/>
  <c r="N8" i="19"/>
  <c r="O8" i="19"/>
  <c r="P8" i="19"/>
  <c r="Q8" i="19"/>
  <c r="J8" i="19"/>
  <c r="K7" i="19"/>
  <c r="T7" i="19"/>
  <c r="U7" i="19"/>
  <c r="J36" i="19"/>
  <c r="N36" i="19"/>
  <c r="O36" i="19"/>
  <c r="P36" i="19"/>
  <c r="Q36" i="19"/>
  <c r="L7" i="19"/>
  <c r="G17" i="19"/>
  <c r="J16" i="19"/>
  <c r="N16" i="19"/>
  <c r="O16" i="19"/>
  <c r="P16" i="19"/>
  <c r="Q16" i="19"/>
  <c r="T8" i="19"/>
  <c r="U8" i="19"/>
  <c r="K8" i="19"/>
  <c r="L8" i="19"/>
  <c r="M8" i="19"/>
  <c r="K15" i="19"/>
  <c r="L15" i="19"/>
  <c r="M15" i="19"/>
  <c r="T15" i="19"/>
  <c r="U15" i="19"/>
  <c r="N9" i="19"/>
  <c r="J9" i="19"/>
  <c r="G10" i="19"/>
  <c r="K35" i="19"/>
  <c r="L35" i="19"/>
  <c r="M35" i="19"/>
  <c r="T35" i="19"/>
  <c r="U35" i="19"/>
  <c r="T9" i="19"/>
  <c r="U9" i="19"/>
  <c r="K9" i="19"/>
  <c r="L9" i="19"/>
  <c r="M9" i="19"/>
  <c r="T36" i="19"/>
  <c r="U36" i="19"/>
  <c r="K36" i="19"/>
  <c r="L36" i="19"/>
  <c r="M36" i="19"/>
  <c r="T16" i="19"/>
  <c r="U16" i="19"/>
  <c r="K16" i="19"/>
  <c r="L16" i="19"/>
  <c r="M16" i="19"/>
  <c r="O9" i="19"/>
  <c r="G18" i="19"/>
  <c r="N17" i="19"/>
  <c r="O17" i="19"/>
  <c r="P17" i="19"/>
  <c r="Q17" i="19"/>
  <c r="J17" i="19"/>
  <c r="M7" i="19"/>
  <c r="N10" i="19"/>
  <c r="O10" i="19"/>
  <c r="P10" i="19"/>
  <c r="Q10" i="19"/>
  <c r="J10" i="19"/>
  <c r="G19" i="19"/>
  <c r="N18" i="19"/>
  <c r="O18" i="19"/>
  <c r="P18" i="19"/>
  <c r="Q18" i="19"/>
  <c r="J18" i="19"/>
  <c r="T17" i="19"/>
  <c r="U17" i="19"/>
  <c r="K17" i="19"/>
  <c r="L17" i="19"/>
  <c r="M17" i="19"/>
  <c r="K10" i="19"/>
  <c r="L10" i="19"/>
  <c r="T10" i="19"/>
  <c r="P9" i="19"/>
  <c r="Q9" i="19"/>
  <c r="N19" i="19"/>
  <c r="O19" i="19"/>
  <c r="P19" i="19"/>
  <c r="Q19" i="19"/>
  <c r="J19" i="19"/>
  <c r="G20" i="19"/>
  <c r="T18" i="19"/>
  <c r="U18" i="19"/>
  <c r="K18" i="19"/>
  <c r="L18" i="19"/>
  <c r="M18" i="19"/>
  <c r="U10" i="19"/>
  <c r="M10" i="19"/>
  <c r="K19" i="19"/>
  <c r="L19" i="19"/>
  <c r="M19" i="19"/>
  <c r="T19" i="19"/>
  <c r="U19" i="19"/>
  <c r="J20" i="19"/>
  <c r="G21" i="19"/>
  <c r="N20" i="19"/>
  <c r="O20" i="19"/>
  <c r="P20" i="19"/>
  <c r="Q20" i="19"/>
  <c r="K20" i="19"/>
  <c r="L20" i="19"/>
  <c r="T20" i="19"/>
  <c r="U20" i="19"/>
  <c r="N21" i="19"/>
  <c r="O21" i="19"/>
  <c r="P21" i="19"/>
  <c r="Q21" i="19"/>
  <c r="J21" i="19"/>
  <c r="G22" i="19"/>
  <c r="G23" i="19"/>
  <c r="J22" i="19"/>
  <c r="N22" i="19"/>
  <c r="O22" i="19"/>
  <c r="P22" i="19"/>
  <c r="Q22" i="19"/>
  <c r="T21" i="19"/>
  <c r="U21" i="19"/>
  <c r="K21" i="19"/>
  <c r="L21" i="19"/>
  <c r="M21" i="19"/>
  <c r="M20" i="19"/>
  <c r="N23" i="19"/>
  <c r="O23" i="19"/>
  <c r="P23" i="19"/>
  <c r="Q23" i="19"/>
  <c r="G24" i="19"/>
  <c r="J23" i="19"/>
  <c r="K22" i="19"/>
  <c r="L22" i="19"/>
  <c r="M22" i="19"/>
  <c r="T22" i="19"/>
  <c r="U22" i="19"/>
  <c r="T23" i="19"/>
  <c r="U23" i="19"/>
  <c r="K23" i="19"/>
  <c r="L23" i="19"/>
  <c r="M23" i="19"/>
  <c r="N24" i="19"/>
  <c r="O24" i="19"/>
  <c r="P24" i="19"/>
  <c r="Q24" i="19"/>
  <c r="J24" i="19"/>
  <c r="G25" i="19"/>
  <c r="K24" i="19"/>
  <c r="L24" i="19"/>
  <c r="M24" i="19"/>
  <c r="T24" i="19"/>
  <c r="U24" i="19"/>
  <c r="G26" i="19"/>
  <c r="J25" i="19"/>
  <c r="N25" i="19"/>
  <c r="O25" i="19"/>
  <c r="P25" i="19"/>
  <c r="Q25" i="19"/>
  <c r="K25" i="19"/>
  <c r="L25" i="19"/>
  <c r="M25" i="19"/>
  <c r="T25" i="19"/>
  <c r="U25" i="19"/>
  <c r="N26" i="19"/>
  <c r="O26" i="19"/>
  <c r="P26" i="19"/>
  <c r="Q26" i="19"/>
  <c r="G27" i="19"/>
  <c r="J26" i="19"/>
  <c r="N27" i="19"/>
  <c r="O27" i="19"/>
  <c r="P27" i="19"/>
  <c r="Q27" i="19"/>
  <c r="J27" i="19"/>
  <c r="G28" i="19"/>
  <c r="K26" i="19"/>
  <c r="L26" i="19"/>
  <c r="M26" i="19"/>
  <c r="T26" i="19"/>
  <c r="U26" i="19"/>
  <c r="K27" i="19"/>
  <c r="L27" i="19"/>
  <c r="M27" i="19"/>
  <c r="T27" i="19"/>
  <c r="U27" i="19"/>
  <c r="J28" i="19"/>
  <c r="G29" i="19"/>
  <c r="N28" i="19"/>
  <c r="O28" i="19"/>
  <c r="P28" i="19"/>
  <c r="Q28" i="19"/>
  <c r="J29" i="19"/>
  <c r="G30" i="19"/>
  <c r="N29" i="19"/>
  <c r="O29" i="19"/>
  <c r="P29" i="19"/>
  <c r="Q29" i="19"/>
  <c r="K28" i="19"/>
  <c r="L28" i="19"/>
  <c r="M28" i="19"/>
  <c r="T28" i="19"/>
  <c r="U28" i="19"/>
  <c r="J30" i="19"/>
  <c r="N30" i="19"/>
  <c r="K29" i="19"/>
  <c r="L29" i="19"/>
  <c r="M29" i="19"/>
  <c r="T29" i="19"/>
  <c r="U29" i="19"/>
  <c r="O30" i="19"/>
  <c r="N37" i="19"/>
  <c r="K30" i="19"/>
  <c r="T30" i="19"/>
  <c r="J37" i="19"/>
  <c r="P30" i="19"/>
  <c r="O37" i="19"/>
  <c r="B38" i="11"/>
  <c r="U30" i="19"/>
  <c r="U37" i="19"/>
  <c r="T37" i="19"/>
  <c r="L30" i="19"/>
  <c r="K37" i="19"/>
  <c r="B37" i="11"/>
  <c r="Q30" i="19"/>
  <c r="Q37" i="19"/>
  <c r="B31" i="11"/>
  <c r="P37" i="19"/>
  <c r="M30" i="19"/>
  <c r="M37" i="19"/>
  <c r="B30" i="11"/>
  <c r="L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<sst xmlns="http://schemas.openxmlformats.org/spreadsheetml/2006/main" count="263" uniqueCount="131">
  <si>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</si>
  <si>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</si>
  <si>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</si>
  <si>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</si>
  <si>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</si>
  <si>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</si>
  <si>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</si>
  <si>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</si>
  <si>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</si>
  <si>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</si>
  <si>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</si>
  <si>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</si>
  <si>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</si>
  <si>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</si>
  <si>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</si>
  <si>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</si>
  <si>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</si>
  <si>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</si>
  <si>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</si>
  <si>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</si>
  <si>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</si>
  <si>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</si>
  <si>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</si>
  <si>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</si>
  <si>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</si>
  <si>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</si>
  <si>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</si>
  <si>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</si>
  <si>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</si>
  <si>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</si>
  <si>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</si>
  <si>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</si>
  <si>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</si>
  <si>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</si>
  <si>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</si>
  <si>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</si>
  <si>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</si>
  <si>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</si>
  <si>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</si>
  <si>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</si>
  <si>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</si>
  <si>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</si>
  <si>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</si>
  <si>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</si>
  <si>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</si>
  <si>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</si>
  <si>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</si>
  <si>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146 Baytown Grade Separation</t>
  </si>
  <si>
    <t>Data entered by the sponsors</t>
  </si>
  <si>
    <t>Application ID Number:</t>
  </si>
  <si>
    <t>Data populated/calculated based on inputs</t>
  </si>
  <si>
    <t>Sponsor ID Number (CSJ, etc.):</t>
  </si>
  <si>
    <t>0389-13-039</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</si>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</sst>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8" zoomScaleNormal="100" workbookViewId="0" xr3:uid="{51F8DEE0-4D01-5F28-A812-FC0BD7CAC4A5}">
      <selection activeCell="B19" sqref="B19"/>
    </sheetView>
  </sheetViews>
  <sheetFormatPr defaultColWidth="9.140625"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2022</v>
      </c>
    </row>
    <row r="14" spans="1:5">
      <c r="A14" s="5" t="s">
        <v>59</v>
      </c>
      <c r="B14" s="5" t="s">
        <v>60</v>
      </c>
    </row>
    <row r="15" spans="1:5">
      <c r="A15" s="85" t="s">
        <v>61</v>
      </c>
      <c r="B15" s="8" t="s">
        <v>62</v>
      </c>
    </row>
    <row r="16" spans="1:5">
      <c r="A16" s="85" t="s">
        <v>63</v>
      </c>
      <c r="B16" s="8">
        <v>1.1399999999999999</v>
      </c>
    </row>
    <row r="17" spans="1:2">
      <c r="A17" s="86" t="s">
        <v>64</v>
      </c>
      <c r="B17" s="8">
        <v>16</v>
      </c>
    </row>
    <row r="18" spans="1:2">
      <c r="A18" s="86" t="s">
        <v>65</v>
      </c>
      <c r="B18" s="8">
        <v>34</v>
      </c>
    </row>
    <row r="19" spans="1:2">
      <c r="A19" s="76" t="s">
        <v>66</v>
      </c>
      <c r="B19" s="77">
        <f>VLOOKUP(B14,'Service Life'!C6:D8,2,FALSE)</f>
        <v>20</v>
      </c>
    </row>
    <row r="21" spans="1:2">
      <c r="A21" s="81" t="s">
        <v>67</v>
      </c>
    </row>
    <row r="22" spans="1:2" ht="20.25" customHeight="1">
      <c r="A22" s="86" t="s">
        <v>68</v>
      </c>
      <c r="B22" s="95">
        <v>42103</v>
      </c>
    </row>
    <row r="23" spans="1:2" ht="30">
      <c r="A23" s="94" t="s">
        <v>69</v>
      </c>
      <c r="B23" s="96">
        <v>38920</v>
      </c>
    </row>
    <row r="24" spans="1:2" ht="30">
      <c r="A24" s="94" t="s">
        <v>70</v>
      </c>
      <c r="B24" s="96">
        <v>50494</v>
      </c>
    </row>
    <row r="27" spans="1:2" ht="18.75">
      <c r="A27" s="79" t="s">
        <v>71</v>
      </c>
      <c r="B27" s="80"/>
    </row>
    <row r="29" spans="1:2">
      <c r="A29" s="87" t="s">
        <v>72</v>
      </c>
    </row>
    <row r="30" spans="1:2">
      <c r="A30" s="84" t="s">
        <v>73</v>
      </c>
      <c r="B30" s="35">
        <f>'Benefit Calculations'!M37</f>
        <v>4247.7560048875457</v>
      </c>
    </row>
    <row r="31" spans="1:2">
      <c r="A31" s="84" t="s">
        <v>74</v>
      </c>
      <c r="B31" s="35">
        <f>'Benefit Calculations'!Q37</f>
        <v>1163.0118940907735</v>
      </c>
    </row>
    <row r="32" spans="1:2">
      <c r="B32" s="88"/>
    </row>
    <row r="33" spans="1:9">
      <c r="A33" s="87" t="s">
        <v>75</v>
      </c>
      <c r="B33" s="88"/>
    </row>
    <row r="34" spans="1:9">
      <c r="A34" s="84" t="s">
        <v>76</v>
      </c>
      <c r="B34" s="35">
        <f>$B$30+$B$31</f>
        <v>5410.767898978319</v>
      </c>
    </row>
    <row r="35" spans="1:9">
      <c r="I35" s="89"/>
    </row>
    <row r="36" spans="1:9">
      <c r="A36" s="87" t="s">
        <v>77</v>
      </c>
    </row>
    <row r="37" spans="1:9">
      <c r="A37" s="84" t="s">
        <v>78</v>
      </c>
      <c r="B37" s="91">
        <f>'Benefit Calculations'!K37</f>
        <v>1.3328823844065243</v>
      </c>
    </row>
    <row r="38" spans="1:9">
      <c r="A38" s="84" t="s">
        <v>79</v>
      </c>
      <c r="B38" s="91">
        <f>'Benefit Calculations'!O37</f>
        <v>1.4382874997655111</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5.9942800551699899E-2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1.6589900478700001E-2</v>
      </c>
      <c r="F4" s="54">
        <v>2018</v>
      </c>
      <c r="G4" s="63">
        <f>'Inputs &amp; Outputs'!B22</f>
        <v>42103</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5.5083200335500002E-2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1.1346000246699999E-2</v>
      </c>
      <c r="F5" s="54">
        <f t="shared" ref="F5:F36" si="2">F4+1</f>
        <v>2019</v>
      </c>
      <c r="G5" s="63">
        <f>G4+G4*H5</f>
        <v>41632.823865872793</v>
      </c>
      <c r="H5" s="62">
        <f>$C$9</f>
        <v>-1.1167283427005348E-2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41167.898321895998</v>
      </c>
      <c r="H6" s="62">
        <f t="shared" ref="H6:H11" si="7">$C$9</f>
        <v>-1.1167283427005348E-2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40708.164733241247</v>
      </c>
      <c r="H7" s="62">
        <f t="shared" si="7"/>
        <v>-1.1167283427005348E-2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40253.565119871921</v>
      </c>
      <c r="H8" s="62">
        <f t="shared" si="7"/>
        <v>-1.1167283427005348E-2</v>
      </c>
      <c r="I8" s="54">
        <f>IF(AND(F8&gt;='Inputs &amp; Outputs'!B$13,F8&lt;'Inputs &amp; Outputs'!B$13+'Inputs &amp; Outputs'!B$19),1,0)</f>
        <v>1</v>
      </c>
      <c r="J8" s="55">
        <f>I8*'Inputs &amp; Outputs'!B$16*'Benefit Calculations'!G8*('Benefit Calculations'!C$4-'Benefit Calculations'!C$5)</f>
        <v>223.00250648565466</v>
      </c>
      <c r="K8" s="71">
        <f t="shared" si="3"/>
        <v>6.3912780302860517E-2</v>
      </c>
      <c r="L8" s="56">
        <f>K8*'Assumed Values'!$C$8</f>
        <v>479.85715451387676</v>
      </c>
      <c r="M8" s="57">
        <f t="shared" si="0"/>
        <v>366.08072564538611</v>
      </c>
      <c r="N8" s="55">
        <f>I8*'Inputs &amp; Outputs'!B$16*'Benefit Calculations'!G8*('Benefit Calculations'!D$4-'Benefit Calculations'!D$5)</f>
        <v>240.6376745968528</v>
      </c>
      <c r="O8" s="71">
        <f t="shared" si="4"/>
        <v>6.8967040198219684E-2</v>
      </c>
      <c r="P8" s="56">
        <f>ABS(O8*'Assumed Values'!$C$7)</f>
        <v>131.3822115776085</v>
      </c>
      <c r="Q8" s="57">
        <f t="shared" si="1"/>
        <v>100.23086016077247</v>
      </c>
      <c r="T8" s="68">
        <f t="shared" si="5"/>
        <v>5.7980651686270215E-2</v>
      </c>
      <c r="U8" s="69">
        <f>T8*'Assumed Values'!$D$8</f>
        <v>0</v>
      </c>
    </row>
    <row r="9" spans="2:21">
      <c r="B9" s="15" t="s">
        <v>98</v>
      </c>
      <c r="C9" s="53">
        <f>('Inputs &amp; Outputs'!B23/'Inputs &amp; Outputs'!B22)^(1/(2025-2018))-1</f>
        <v>-1.1167283427005348E-2</v>
      </c>
      <c r="F9" s="54">
        <f t="shared" si="2"/>
        <v>2023</v>
      </c>
      <c r="G9" s="63">
        <f t="shared" si="6"/>
        <v>39804.042149230896</v>
      </c>
      <c r="H9" s="62">
        <f t="shared" si="7"/>
        <v>-1.1167283427005348E-2</v>
      </c>
      <c r="I9" s="54">
        <f>IF(AND(F9&gt;='Inputs &amp; Outputs'!B$13,F9&lt;'Inputs &amp; Outputs'!B$13+'Inputs &amp; Outputs'!B$19),1,0)</f>
        <v>1</v>
      </c>
      <c r="J9" s="55">
        <f>I9*'Inputs &amp; Outputs'!B$16*'Benefit Calculations'!G9*('Benefit Calculations'!C$4-'Benefit Calculations'!C$5)</f>
        <v>220.51217429079679</v>
      </c>
      <c r="K9" s="71">
        <f t="shared" si="3"/>
        <v>6.3199048170610547E-2</v>
      </c>
      <c r="L9" s="56">
        <f>K9*'Assumed Values'!$C$8</f>
        <v>474.49845366494401</v>
      </c>
      <c r="M9" s="57">
        <f t="shared" si="0"/>
        <v>338.31083964947686</v>
      </c>
      <c r="N9" s="55">
        <f>I9*'Inputs &amp; Outputs'!B$16*'Benefit Calculations'!G9*('Benefit Calculations'!D$4-'Benefit Calculations'!D$5)</f>
        <v>237.95040548141429</v>
      </c>
      <c r="O9" s="71">
        <f t="shared" si="4"/>
        <v>6.8196865713204505E-2</v>
      </c>
      <c r="P9" s="56">
        <f>ABS(O9*'Assumed Values'!$C$7)</f>
        <v>129.91502918365458</v>
      </c>
      <c r="Q9" s="57">
        <f t="shared" si="1"/>
        <v>92.627620315163156</v>
      </c>
      <c r="T9" s="68">
        <f t="shared" si="5"/>
        <v>5.7333165315607171E-2</v>
      </c>
      <c r="U9" s="69">
        <f>T9*'Assumed Values'!$D$8</f>
        <v>0</v>
      </c>
    </row>
    <row r="10" spans="2:21">
      <c r="B10" s="15" t="s">
        <v>99</v>
      </c>
      <c r="C10" s="53">
        <f>('Inputs &amp; Outputs'!B24/'Inputs &amp; Outputs'!B23)^(1/(2045-2020))-1</f>
        <v>1.0468263259458155E-2</v>
      </c>
      <c r="F10" s="54">
        <f t="shared" si="2"/>
        <v>2024</v>
      </c>
      <c r="G10" s="63">
        <f t="shared" si="6"/>
        <v>39359.539129009965</v>
      </c>
      <c r="H10" s="62">
        <f t="shared" si="7"/>
        <v>-1.1167283427005348E-2</v>
      </c>
      <c r="I10" s="54">
        <f>IF(AND(F10&gt;='Inputs &amp; Outputs'!B$13,F10&lt;'Inputs &amp; Outputs'!B$13+'Inputs &amp; Outputs'!B$19),1,0)</f>
        <v>1</v>
      </c>
      <c r="J10" s="55">
        <f>I10*'Inputs &amp; Outputs'!B$16*'Benefit Calculations'!G10*('Benefit Calculations'!C$4-'Benefit Calculations'!C$5)</f>
        <v>218.04965234138621</v>
      </c>
      <c r="K10" s="71">
        <f t="shared" si="3"/>
        <v>6.2493286487372367E-2</v>
      </c>
      <c r="L10" s="56">
        <f>K10*'Assumed Values'!$C$8</f>
        <v>469.19959494719171</v>
      </c>
      <c r="M10" s="57">
        <f t="shared" si="0"/>
        <v>312.64750151091863</v>
      </c>
      <c r="N10" s="55">
        <f>I10*'Inputs &amp; Outputs'!B$16*'Benefit Calculations'!G10*('Benefit Calculations'!D$4-'Benefit Calculations'!D$5)</f>
        <v>235.29314586183247</v>
      </c>
      <c r="O10" s="71">
        <f t="shared" si="4"/>
        <v>6.7435291984951712E-2</v>
      </c>
      <c r="P10" s="56">
        <f>ABS(O10*'Assumed Values'!$C$7)</f>
        <v>128.464231231333</v>
      </c>
      <c r="Q10" s="57">
        <f t="shared" si="1"/>
        <v>85.601141519565118</v>
      </c>
      <c r="T10" s="68">
        <f t="shared" si="5"/>
        <v>5.669290960876041E-2</v>
      </c>
      <c r="U10" s="69">
        <f>T10*'Assumed Values'!$D$8</f>
        <v>0</v>
      </c>
    </row>
    <row r="11" spans="2:21">
      <c r="B11" s="15" t="s">
        <v>100</v>
      </c>
      <c r="C11" s="53">
        <f>('Inputs &amp; Outputs'!B24/'Inputs &amp; Outputs'!B22)^(1/(2045-2018))-1</f>
        <v>6.7536489179220727E-3</v>
      </c>
      <c r="F11" s="54">
        <f t="shared" si="2"/>
        <v>2025</v>
      </c>
      <c r="G11" s="63">
        <f>'Inputs &amp; Outputs'!$B$23</f>
        <v>38920</v>
      </c>
      <c r="H11" s="62">
        <f t="shared" si="7"/>
        <v>-1.1167283427005348E-2</v>
      </c>
      <c r="I11" s="54">
        <f>IF(AND(F11&gt;='Inputs &amp; Outputs'!B$13,F11&lt;'Inputs &amp; Outputs'!B$13+'Inputs &amp; Outputs'!B$19),1,0)</f>
        <v>1</v>
      </c>
      <c r="J11" s="55">
        <f>I11*'Inputs &amp; Outputs'!B$16*'Benefit Calculations'!G11*('Benefit Calculations'!C$4-'Benefit Calculations'!C$5)</f>
        <v>215.61463007252996</v>
      </c>
      <c r="K11" s="71">
        <f t="shared" si="3"/>
        <v>6.1795406244882833E-2</v>
      </c>
      <c r="L11" s="56">
        <f>K11*'Assumed Values'!$C$8</f>
        <v>463.95991008658029</v>
      </c>
      <c r="M11" s="57">
        <f t="shared" si="0"/>
        <v>288.930914251216</v>
      </c>
      <c r="N11" s="55">
        <f>I11*'Inputs &amp; Outputs'!B$16*'Benefit Calculations'!G11*('Benefit Calculations'!D$4-'Benefit Calculations'!D$5)</f>
        <v>232.66556061356167</v>
      </c>
      <c r="O11" s="71">
        <f t="shared" si="4"/>
        <v>6.6682222966372898E-2</v>
      </c>
      <c r="P11" s="56">
        <f>ABS(O11*'Assumed Values'!$C$7)</f>
        <v>127.02963475094037</v>
      </c>
      <c r="Q11" s="57">
        <f t="shared" si="1"/>
        <v>79.107672252842008</v>
      </c>
      <c r="T11" s="68">
        <f t="shared" si="5"/>
        <v>5.6059803818857792E-2</v>
      </c>
      <c r="U11" s="69">
        <f>T11*'Assumed Values'!$D$8</f>
        <v>0</v>
      </c>
    </row>
    <row r="12" spans="2:21">
      <c r="C12" s="38"/>
      <c r="F12" s="54">
        <f t="shared" si="2"/>
        <v>2026</v>
      </c>
      <c r="G12" s="63">
        <f t="shared" si="6"/>
        <v>39327.424806058109</v>
      </c>
      <c r="H12" s="62">
        <f>$C$10</f>
        <v>1.0468263259458155E-2</v>
      </c>
      <c r="I12" s="54">
        <f>IF(AND(F12&gt;='Inputs &amp; Outputs'!B$13,F12&lt;'Inputs &amp; Outputs'!B$13+'Inputs &amp; Outputs'!B$19),1,0)</f>
        <v>1</v>
      </c>
      <c r="J12" s="55">
        <f>I12*'Inputs &amp; Outputs'!B$16*'Benefit Calculations'!G12*('Benefit Calculations'!C$4-'Benefit Calculations'!C$5)</f>
        <v>217.87174078271985</v>
      </c>
      <c r="K12" s="71">
        <f t="shared" si="3"/>
        <v>6.2442296825679422E-2</v>
      </c>
      <c r="L12" s="56">
        <f>K12*'Assumed Values'!$C$8</f>
        <v>468.81676456720112</v>
      </c>
      <c r="M12" s="57">
        <f t="shared" si="0"/>
        <v>272.85562535083517</v>
      </c>
      <c r="N12" s="55">
        <f>I12*'Inputs &amp; Outputs'!B$16*'Benefit Calculations'!G12*('Benefit Calculations'!D$4-'Benefit Calculations'!D$5)</f>
        <v>235.10116495347381</v>
      </c>
      <c r="O12" s="71">
        <f t="shared" si="4"/>
        <v>6.7380270031110759E-2</v>
      </c>
      <c r="P12" s="56">
        <f>ABS(O12*'Assumed Values'!$C$7)</f>
        <v>128.35941440926601</v>
      </c>
      <c r="Q12" s="57">
        <f t="shared" si="1"/>
        <v>74.706347842829601</v>
      </c>
      <c r="T12" s="68">
        <f t="shared" si="5"/>
        <v>5.6646652603507167E-2</v>
      </c>
      <c r="U12" s="69">
        <f>T12*'Assumed Values'!$D$8</f>
        <v>0</v>
      </c>
    </row>
    <row r="13" spans="2:21">
      <c r="C13" s="38"/>
      <c r="F13" s="54">
        <f t="shared" si="2"/>
        <v>2027</v>
      </c>
      <c r="G13" s="63">
        <f t="shared" si="6"/>
        <v>39739.114642244473</v>
      </c>
      <c r="H13" s="62">
        <f t="shared" ref="H13:H36" si="8">$C$10</f>
        <v>1.0468263259458155E-2</v>
      </c>
      <c r="I13" s="54">
        <f>IF(AND(F13&gt;='Inputs &amp; Outputs'!B$13,F13&lt;'Inputs &amp; Outputs'!B$13+'Inputs &amp; Outputs'!B$19),1,0)</f>
        <v>1</v>
      </c>
      <c r="J13" s="55">
        <f>I13*'Inputs &amp; Outputs'!B$16*'Benefit Calculations'!G13*('Benefit Calculations'!C$4-'Benefit Calculations'!C$5)</f>
        <v>220.15247952202984</v>
      </c>
      <c r="K13" s="71">
        <f t="shared" si="3"/>
        <v>6.3095959227375875E-2</v>
      </c>
      <c r="L13" s="56">
        <f>K13*'Assumed Values'!$C$8</f>
        <v>473.72446187913806</v>
      </c>
      <c r="M13" s="57">
        <f t="shared" si="0"/>
        <v>257.67471950358112</v>
      </c>
      <c r="N13" s="55">
        <f>I13*'Inputs &amp; Outputs'!B$16*'Benefit Calculations'!G13*('Benefit Calculations'!D$4-'Benefit Calculations'!D$5)</f>
        <v>237.5622658408121</v>
      </c>
      <c r="O13" s="71">
        <f t="shared" si="4"/>
        <v>6.8085624436289821E-2</v>
      </c>
      <c r="P13" s="56">
        <f>ABS(O13*'Assumed Values'!$C$7)</f>
        <v>129.7031145511321</v>
      </c>
      <c r="Q13" s="57">
        <f t="shared" si="1"/>
        <v>70.549900522617747</v>
      </c>
      <c r="T13" s="68">
        <f t="shared" si="5"/>
        <v>5.7239644675727758E-2</v>
      </c>
      <c r="U13" s="69">
        <f>T13*'Assumed Values'!$D$8</f>
        <v>0</v>
      </c>
    </row>
    <row r="14" spans="2:21">
      <c r="C14" s="38"/>
      <c r="F14" s="54">
        <f t="shared" si="2"/>
        <v>2028</v>
      </c>
      <c r="G14" s="63">
        <f t="shared" si="6"/>
        <v>40155.114156017276</v>
      </c>
      <c r="H14" s="62">
        <f t="shared" si="8"/>
        <v>1.0468263259458155E-2</v>
      </c>
      <c r="I14" s="54">
        <f>IF(AND(F14&gt;='Inputs &amp; Outputs'!B$13,F14&lt;'Inputs &amp; Outputs'!B$13+'Inputs &amp; Outputs'!B$19),1,0)</f>
        <v>1</v>
      </c>
      <c r="J14" s="55">
        <f>I14*'Inputs &amp; Outputs'!B$16*'Benefit Calculations'!G14*('Benefit Calculations'!C$4-'Benefit Calculations'!C$5)</f>
        <v>222.45709363488891</v>
      </c>
      <c r="K14" s="71">
        <f t="shared" si="3"/>
        <v>6.3756464339176089E-2</v>
      </c>
      <c r="L14" s="56">
        <f>K14*'Assumed Values'!$C$8</f>
        <v>478.68353425853405</v>
      </c>
      <c r="M14" s="57">
        <f t="shared" si="0"/>
        <v>243.33843579687073</v>
      </c>
      <c r="N14" s="55">
        <f>I14*'Inputs &amp; Outputs'!B$16*'Benefit Calculations'!G14*('Benefit Calculations'!D$4-'Benefit Calculations'!D$5)</f>
        <v>240.0491301801471</v>
      </c>
      <c r="O14" s="71">
        <f t="shared" si="4"/>
        <v>6.8798362677073496E-2</v>
      </c>
      <c r="P14" s="56">
        <f>ABS(O14*'Assumed Values'!$C$7)</f>
        <v>131.06088089982501</v>
      </c>
      <c r="Q14" s="57">
        <f t="shared" si="1"/>
        <v>66.624706031978604</v>
      </c>
      <c r="T14" s="68">
        <f t="shared" si="5"/>
        <v>5.7838844345071111E-2</v>
      </c>
      <c r="U14" s="69">
        <f>T14*'Assumed Values'!$D$8</f>
        <v>0</v>
      </c>
    </row>
    <row r="15" spans="2:21">
      <c r="C15" s="1"/>
      <c r="F15" s="54">
        <f t="shared" si="2"/>
        <v>2029</v>
      </c>
      <c r="G15" s="63">
        <f t="shared" si="6"/>
        <v>40575.468462216057</v>
      </c>
      <c r="H15" s="62">
        <f t="shared" si="8"/>
        <v>1.0468263259458155E-2</v>
      </c>
      <c r="I15" s="54">
        <f>IF(AND(F15&gt;='Inputs &amp; Outputs'!B$13,F15&lt;'Inputs &amp; Outputs'!B$13+'Inputs &amp; Outputs'!B$19),1,0)</f>
        <v>1</v>
      </c>
      <c r="J15" s="55">
        <f>I15*'Inputs &amp; Outputs'!B$16*'Benefit Calculations'!G15*('Benefit Calculations'!C$4-'Benefit Calculations'!C$5)</f>
        <v>224.78583305499285</v>
      </c>
      <c r="K15" s="71">
        <f t="shared" si="3"/>
        <v>6.4423883792370837E-2</v>
      </c>
      <c r="L15" s="56">
        <f>K15*'Assumed Values'!$C$8</f>
        <v>483.69451951312027</v>
      </c>
      <c r="M15" s="57">
        <f t="shared" si="0"/>
        <v>229.79978187283842</v>
      </c>
      <c r="N15" s="55">
        <f>I15*'Inputs &amp; Outputs'!B$16*'Benefit Calculations'!G15*('Benefit Calculations'!D$4-'Benefit Calculations'!D$5)</f>
        <v>242.56202767007682</v>
      </c>
      <c r="O15" s="71">
        <f t="shared" si="4"/>
        <v>6.9518562049396784E-2</v>
      </c>
      <c r="P15" s="56">
        <f>ABS(O15*'Assumed Values'!$C$7)</f>
        <v>132.43286070410088</v>
      </c>
      <c r="Q15" s="57">
        <f t="shared" si="1"/>
        <v>62.917898125519024</v>
      </c>
      <c r="T15" s="68">
        <f t="shared" si="5"/>
        <v>5.8444316594298142E-2</v>
      </c>
      <c r="U15" s="69">
        <f>T15*'Assumed Values'!$D$8</f>
        <v>0</v>
      </c>
    </row>
    <row r="16" spans="2:21">
      <c r="C16" s="1"/>
      <c r="F16" s="54">
        <f t="shared" si="2"/>
        <v>2030</v>
      </c>
      <c r="G16" s="63">
        <f t="shared" si="6"/>
        <v>41000.223147954377</v>
      </c>
      <c r="H16" s="62">
        <f t="shared" si="8"/>
        <v>1.0468263259458155E-2</v>
      </c>
      <c r="I16" s="54">
        <f>IF(AND(F16&gt;='Inputs &amp; Outputs'!B$13,F16&lt;'Inputs &amp; Outputs'!B$13+'Inputs &amp; Outputs'!B$19),1,0)</f>
        <v>1</v>
      </c>
      <c r="J16" s="55">
        <f>I16*'Inputs &amp; Outputs'!B$16*'Benefit Calculations'!G16*('Benefit Calculations'!C$4-'Benefit Calculations'!C$5)</f>
        <v>227.13895033240911</v>
      </c>
      <c r="K16" s="71">
        <f t="shared" si="3"/>
        <v>6.5098289968106099E-2</v>
      </c>
      <c r="L16" s="56">
        <f>K16*'Assumed Values'!$C$8</f>
        <v>488.75796108054061</v>
      </c>
      <c r="M16" s="57">
        <f t="shared" si="0"/>
        <v>217.01437989387787</v>
      </c>
      <c r="N16" s="55">
        <f>I16*'Inputs &amp; Outputs'!B$16*'Benefit Calculations'!G16*('Benefit Calculations'!D$4-'Benefit Calculations'!D$5)</f>
        <v>245.10123083247515</v>
      </c>
      <c r="O16" s="71">
        <f t="shared" si="4"/>
        <v>7.0246300658348845E-2</v>
      </c>
      <c r="P16" s="56">
        <f>ABS(O16*'Assumed Values'!$C$7)</f>
        <v>133.81920275415456</v>
      </c>
      <c r="Q16" s="57">
        <f t="shared" si="1"/>
        <v>59.417326398905367</v>
      </c>
      <c r="T16" s="68">
        <f t="shared" si="5"/>
        <v>5.9056127086426373E-2</v>
      </c>
      <c r="U16" s="69">
        <f>T16*'Assumed Values'!$D$8</f>
        <v>0</v>
      </c>
    </row>
    <row r="17" spans="3:21">
      <c r="C17" s="1"/>
      <c r="F17" s="54">
        <f t="shared" si="2"/>
        <v>2031</v>
      </c>
      <c r="G17" s="63">
        <f t="shared" si="6"/>
        <v>41429.424277563696</v>
      </c>
      <c r="H17" s="62">
        <f t="shared" si="8"/>
        <v>1.0468263259458155E-2</v>
      </c>
      <c r="I17" s="54">
        <f>IF(AND(F17&gt;='Inputs &amp; Outputs'!B$13,F17&lt;'Inputs &amp; Outputs'!B$13+'Inputs &amp; Outputs'!B$19),1,0)</f>
        <v>1</v>
      </c>
      <c r="J17" s="55">
        <f>I17*'Inputs &amp; Outputs'!B$16*'Benefit Calculations'!G17*('Benefit Calculations'!C$4-'Benefit Calculations'!C$5)</f>
        <v>229.5167006609658</v>
      </c>
      <c r="K17" s="71">
        <f t="shared" si="3"/>
        <v>6.5779756005232795E-2</v>
      </c>
      <c r="L17" s="56">
        <f>K17*'Assumed Values'!$C$8</f>
        <v>493.8744080872878</v>
      </c>
      <c r="M17" s="57">
        <f t="shared" si="0"/>
        <v>204.94032107821971</v>
      </c>
      <c r="N17" s="55">
        <f>I17*'Inputs &amp; Outputs'!B$16*'Benefit Calculations'!G17*('Benefit Calculations'!D$4-'Benefit Calculations'!D$5)</f>
        <v>247.66701504204676</v>
      </c>
      <c r="O17" s="71">
        <f t="shared" si="4"/>
        <v>7.0981657426643502E-2</v>
      </c>
      <c r="P17" s="56">
        <f>ABS(O17*'Assumed Values'!$C$7)</f>
        <v>135.22005739775588</v>
      </c>
      <c r="Q17" s="57">
        <f t="shared" si="1"/>
        <v>56.111516461516132</v>
      </c>
      <c r="T17" s="68">
        <f t="shared" si="5"/>
        <v>5.9674342171851108E-2</v>
      </c>
      <c r="U17" s="69">
        <f>T17*'Assumed Values'!$D$8</f>
        <v>0</v>
      </c>
    </row>
    <row r="18" spans="3:21">
      <c r="F18" s="54">
        <f t="shared" si="2"/>
        <v>2032</v>
      </c>
      <c r="G18" s="63">
        <f t="shared" si="6"/>
        <v>41863.118397589016</v>
      </c>
      <c r="H18" s="62">
        <f t="shared" si="8"/>
        <v>1.0468263259458155E-2</v>
      </c>
      <c r="I18" s="54">
        <f>IF(AND(F18&gt;='Inputs &amp; Outputs'!B$13,F18&lt;'Inputs &amp; Outputs'!B$13+'Inputs &amp; Outputs'!B$19),1,0)</f>
        <v>1</v>
      </c>
      <c r="J18" s="55">
        <f>I18*'Inputs &amp; Outputs'!B$16*'Benefit Calculations'!G18*('Benefit Calculations'!C$4-'Benefit Calculations'!C$5)</f>
        <v>231.91934190592698</v>
      </c>
      <c r="K18" s="71">
        <f t="shared" si="3"/>
        <v>6.6468355808238469E-2</v>
      </c>
      <c r="L18" s="56">
        <f>K18*'Assumed Values'!$C$8</f>
        <v>499.04441540825445</v>
      </c>
      <c r="M18" s="57">
        <f t="shared" si="0"/>
        <v>193.53802832873302</v>
      </c>
      <c r="N18" s="55">
        <f>I18*'Inputs &amp; Outputs'!B$16*'Benefit Calculations'!G18*('Benefit Calculations'!D$4-'Benefit Calculations'!D$5)</f>
        <v>250.25965855619103</v>
      </c>
      <c r="O18" s="71">
        <f t="shared" si="4"/>
        <v>7.1724712103178268E-2</v>
      </c>
      <c r="P18" s="56">
        <f>ABS(O18*'Assumed Values'!$C$7)</f>
        <v>136.63557655655461</v>
      </c>
      <c r="Q18" s="57">
        <f t="shared" si="1"/>
        <v>52.989632324974487</v>
      </c>
      <c r="T18" s="68">
        <f t="shared" si="5"/>
        <v>6.0299028895541014E-2</v>
      </c>
      <c r="U18" s="69">
        <f>T18*'Assumed Values'!$D$8</f>
        <v>0</v>
      </c>
    </row>
    <row r="19" spans="3:21">
      <c r="F19" s="54">
        <f t="shared" si="2"/>
        <v>2033</v>
      </c>
      <c r="G19" s="63">
        <f t="shared" si="6"/>
        <v>42301.352541836844</v>
      </c>
      <c r="H19" s="62">
        <f t="shared" si="8"/>
        <v>1.0468263259458155E-2</v>
      </c>
      <c r="I19" s="54">
        <f>IF(AND(F19&gt;='Inputs &amp; Outputs'!B$13,F19&lt;'Inputs &amp; Outputs'!B$13+'Inputs &amp; Outputs'!B$19),1,0)</f>
        <v>1</v>
      </c>
      <c r="J19" s="55">
        <f>I19*'Inputs &amp; Outputs'!B$16*'Benefit Calculations'!G19*('Benefit Calculations'!C$4-'Benefit Calculations'!C$5)</f>
        <v>234.34713463195854</v>
      </c>
      <c r="K19" s="71">
        <f t="shared" si="3"/>
        <v>6.716416405526246E-2</v>
      </c>
      <c r="L19" s="56">
        <f>K19*'Assumed Values'!$C$8</f>
        <v>504.26854372691054</v>
      </c>
      <c r="M19" s="57">
        <f t="shared" si="0"/>
        <v>182.77012650466793</v>
      </c>
      <c r="N19" s="55">
        <f>I19*'Inputs &amp; Outputs'!B$16*'Benefit Calculations'!G19*('Benefit Calculations'!D$4-'Benefit Calculations'!D$5)</f>
        <v>252.87944254517936</v>
      </c>
      <c r="O19" s="71">
        <f t="shared" si="4"/>
        <v>7.2475545271683178E-2</v>
      </c>
      <c r="P19" s="56">
        <f>ABS(O19*'Assumed Values'!$C$7)</f>
        <v>138.06591374255646</v>
      </c>
      <c r="Q19" s="57">
        <f t="shared" si="1"/>
        <v>50.041440884274955</v>
      </c>
      <c r="T19" s="68">
        <f t="shared" si="5"/>
        <v>6.0930255004309222E-2</v>
      </c>
      <c r="U19" s="69">
        <f>T19*'Assumed Values'!$D$8</f>
        <v>0</v>
      </c>
    </row>
    <row r="20" spans="3:21">
      <c r="F20" s="54">
        <f t="shared" si="2"/>
        <v>2034</v>
      </c>
      <c r="G20" s="63">
        <f t="shared" si="6"/>
        <v>42744.174236475941</v>
      </c>
      <c r="H20" s="62">
        <f t="shared" si="8"/>
        <v>1.0468263259458155E-2</v>
      </c>
      <c r="I20" s="54">
        <f>IF(AND(F20&gt;='Inputs &amp; Outputs'!B$13,F20&lt;'Inputs &amp; Outputs'!B$13+'Inputs &amp; Outputs'!B$19),1,0)</f>
        <v>1</v>
      </c>
      <c r="J20" s="55">
        <f>I20*'Inputs &amp; Outputs'!B$16*'Benefit Calculations'!G20*('Benefit Calculations'!C$4-'Benefit Calculations'!C$5)</f>
        <v>236.80034213138555</v>
      </c>
      <c r="K20" s="71">
        <f t="shared" si="3"/>
        <v>6.7867256206194382E-2</v>
      </c>
      <c r="L20" s="56">
        <f>K20*'Assumed Values'!$C$8</f>
        <v>509.54735959610741</v>
      </c>
      <c r="M20" s="57">
        <f t="shared" si="0"/>
        <v>172.60131991110586</v>
      </c>
      <c r="N20" s="55">
        <f>I20*'Inputs &amp; Outputs'!B$16*'Benefit Calculations'!G20*('Benefit Calculations'!D$4-'Benefit Calculations'!D$5)</f>
        <v>255.52665112264731</v>
      </c>
      <c r="O20" s="71">
        <f t="shared" si="4"/>
        <v>7.3234238359459927E-2</v>
      </c>
      <c r="P20" s="56">
        <f>ABS(O20*'Assumed Values'!$C$7)</f>
        <v>139.51122407477115</v>
      </c>
      <c r="Q20" s="57">
        <f t="shared" si="1"/>
        <v>47.257278375078648</v>
      </c>
      <c r="T20" s="68">
        <f t="shared" si="5"/>
        <v>6.1568088954160244E-2</v>
      </c>
      <c r="U20" s="69">
        <f>T20*'Assumed Values'!$D$8</f>
        <v>0</v>
      </c>
    </row>
    <row r="21" spans="3:21">
      <c r="F21" s="54">
        <f t="shared" si="2"/>
        <v>2035</v>
      </c>
      <c r="G21" s="63">
        <f t="shared" si="6"/>
        <v>43191.631505191523</v>
      </c>
      <c r="H21" s="62">
        <f t="shared" si="8"/>
        <v>1.0468263259458155E-2</v>
      </c>
      <c r="I21" s="54">
        <f>IF(AND(F21&gt;='Inputs &amp; Outputs'!B$13,F21&lt;'Inputs &amp; Outputs'!B$13+'Inputs &amp; Outputs'!B$19),1,0)</f>
        <v>1</v>
      </c>
      <c r="J21" s="55">
        <f>I21*'Inputs &amp; Outputs'!B$16*'Benefit Calculations'!G21*('Benefit Calculations'!C$4-'Benefit Calculations'!C$5)</f>
        <v>239.2792304527467</v>
      </c>
      <c r="K21" s="71">
        <f t="shared" si="3"/>
        <v>6.8577708510857927E-2</v>
      </c>
      <c r="L21" s="56">
        <f>K21*'Assumed Values'!$C$8</f>
        <v>514.88143549952133</v>
      </c>
      <c r="M21" s="57">
        <f t="shared" si="0"/>
        <v>162.99827660454702</v>
      </c>
      <c r="N21" s="55">
        <f>I21*'Inputs &amp; Outputs'!B$16*'Benefit Calculations'!G21*('Benefit Calculations'!D$4-'Benefit Calculations'!D$5)</f>
        <v>258.20157137640695</v>
      </c>
      <c r="O21" s="71">
        <f t="shared" si="4"/>
        <v>7.4000873646212689E-2</v>
      </c>
      <c r="P21" s="56">
        <f>ABS(O21*'Assumed Values'!$C$7)</f>
        <v>140.97166429603519</v>
      </c>
      <c r="Q21" s="57">
        <f t="shared" si="1"/>
        <v>44.628018697228498</v>
      </c>
      <c r="T21" s="68">
        <f t="shared" si="5"/>
        <v>6.2212599917714141E-2</v>
      </c>
      <c r="U21" s="69">
        <f>T21*'Assumed Values'!$D$8</f>
        <v>0</v>
      </c>
    </row>
    <row r="22" spans="3:21">
      <c r="F22" s="54">
        <f t="shared" si="2"/>
        <v>2036</v>
      </c>
      <c r="G22" s="63">
        <f t="shared" si="6"/>
        <v>43643.772874393377</v>
      </c>
      <c r="H22" s="62">
        <f t="shared" si="8"/>
        <v>1.0468263259458155E-2</v>
      </c>
      <c r="I22" s="54">
        <f>IF(AND(F22&gt;='Inputs &amp; Outputs'!B$13,F22&lt;'Inputs &amp; Outputs'!B$13+'Inputs &amp; Outputs'!B$19),1,0)</f>
        <v>1</v>
      </c>
      <c r="J22" s="55">
        <f>I22*'Inputs &amp; Outputs'!B$16*'Benefit Calculations'!G22*('Benefit Calculations'!C$4-'Benefit Calculations'!C$5)</f>
        <v>241.78406842964662</v>
      </c>
      <c r="K22" s="71">
        <f t="shared" si="3"/>
        <v>6.9295598017279983E-2</v>
      </c>
      <c r="L22" s="56">
        <f>K22*'Assumed Values'!$C$8</f>
        <v>520.27134991373816</v>
      </c>
      <c r="M22" s="57">
        <f t="shared" si="0"/>
        <v>153.92951913540321</v>
      </c>
      <c r="N22" s="55">
        <f>I22*'Inputs &amp; Outputs'!B$16*'Benefit Calculations'!G22*('Benefit Calculations'!D$4-'Benefit Calculations'!D$5)</f>
        <v>260.90449339958099</v>
      </c>
      <c r="O22" s="71">
        <f t="shared" si="4"/>
        <v>7.477553427297115E-2</v>
      </c>
      <c r="P22" s="56">
        <f>ABS(O22*'Assumed Values'!$C$7)</f>
        <v>142.44739279001004</v>
      </c>
      <c r="Q22" s="57">
        <f t="shared" si="1"/>
        <v>42.145043500653372</v>
      </c>
      <c r="T22" s="68">
        <f t="shared" si="5"/>
        <v>6.2863857791708125E-2</v>
      </c>
      <c r="U22" s="69">
        <f>T22*'Assumed Values'!$D$8</f>
        <v>0</v>
      </c>
    </row>
    <row r="23" spans="3:21">
      <c r="F23" s="54">
        <f t="shared" si="2"/>
        <v>2037</v>
      </c>
      <c r="G23" s="63">
        <f t="shared" si="6"/>
        <v>44100.647378478527</v>
      </c>
      <c r="H23" s="62">
        <f t="shared" si="8"/>
        <v>1.0468263259458155E-2</v>
      </c>
      <c r="I23" s="54">
        <f>IF(AND(F23&gt;='Inputs &amp; Outputs'!B$13,F23&lt;'Inputs &amp; Outputs'!B$13+'Inputs &amp; Outputs'!B$19),1,0)</f>
        <v>1</v>
      </c>
      <c r="J23" s="55">
        <f>I23*'Inputs &amp; Outputs'!B$16*'Benefit Calculations'!G23*('Benefit Calculations'!C$4-'Benefit Calculations'!C$5)</f>
        <v>244.315127709911</v>
      </c>
      <c r="K23" s="71">
        <f t="shared" si="3"/>
        <v>7.0021002580046454E-2</v>
      </c>
      <c r="L23" s="56">
        <f>K23*'Assumed Values'!$C$8</f>
        <v>525.71768737098876</v>
      </c>
      <c r="M23" s="57">
        <f t="shared" si="0"/>
        <v>145.36532136926576</v>
      </c>
      <c r="N23" s="55">
        <f>I23*'Inputs &amp; Outputs'!B$16*'Benefit Calculations'!G23*('Benefit Calculations'!D$4-'Benefit Calculations'!D$5)</f>
        <v>263.63571032206335</v>
      </c>
      <c r="O23" s="71">
        <f t="shared" si="4"/>
        <v>7.5558304251107239E-2</v>
      </c>
      <c r="P23" s="56">
        <f>ABS(O23*'Assumed Values'!$C$7)</f>
        <v>143.93856959835929</v>
      </c>
      <c r="Q23" s="57">
        <f t="shared" si="1"/>
        <v>39.800213935607026</v>
      </c>
      <c r="T23" s="68">
        <f t="shared" si="5"/>
        <v>6.3521933204576858E-2</v>
      </c>
      <c r="U23" s="69">
        <f>T23*'Assumed Values'!$D$8</f>
        <v>0</v>
      </c>
    </row>
    <row r="24" spans="3:21">
      <c r="F24" s="54">
        <f t="shared" si="2"/>
        <v>2038</v>
      </c>
      <c r="G24" s="63">
        <f t="shared" si="6"/>
        <v>44562.304565148974</v>
      </c>
      <c r="H24" s="62">
        <f t="shared" si="8"/>
        <v>1.0468263259458155E-2</v>
      </c>
      <c r="I24" s="54">
        <f>IF(AND(F24&gt;='Inputs &amp; Outputs'!B$13,F24&lt;'Inputs &amp; Outputs'!B$13+'Inputs &amp; Outputs'!B$19),1,0)</f>
        <v>1</v>
      </c>
      <c r="J24" s="55">
        <f>I24*'Inputs &amp; Outputs'!B$16*'Benefit Calculations'!G24*('Benefit Calculations'!C$4-'Benefit Calculations'!C$5)</f>
        <v>246.87268278504649</v>
      </c>
      <c r="K24" s="71">
        <f t="shared" si="3"/>
        <v>7.0754000868745573E-2</v>
      </c>
      <c r="L24" s="56">
        <f>K24*'Assumed Values'!$C$8</f>
        <v>531.22103852254179</v>
      </c>
      <c r="M24" s="57">
        <f t="shared" si="0"/>
        <v>137.27761104874298</v>
      </c>
      <c r="N24" s="55">
        <f>I24*'Inputs &amp; Outputs'!B$16*'Benefit Calculations'!G24*('Benefit Calculations'!D$4-'Benefit Calculations'!D$5)</f>
        <v>266.39551834230895</v>
      </c>
      <c r="O24" s="71">
        <f t="shared" si="4"/>
        <v>7.6349268471446061E-2</v>
      </c>
      <c r="P24" s="56">
        <f>ABS(O24*'Assumed Values'!$C$7)</f>
        <v>145.44535643810474</v>
      </c>
      <c r="Q24" s="57">
        <f t="shared" si="1"/>
        <v>37.585843974642721</v>
      </c>
      <c r="T24" s="68">
        <f t="shared" si="5"/>
        <v>6.418689752411208E-2</v>
      </c>
      <c r="U24" s="69">
        <f>T24*'Assumed Values'!$D$8</f>
        <v>0</v>
      </c>
    </row>
    <row r="25" spans="3:21">
      <c r="F25" s="54">
        <f t="shared" si="2"/>
        <v>2039</v>
      </c>
      <c r="G25" s="63">
        <f t="shared" si="6"/>
        <v>45028.794500785109</v>
      </c>
      <c r="H25" s="62">
        <f t="shared" si="8"/>
        <v>1.0468263259458155E-2</v>
      </c>
      <c r="I25" s="54">
        <f>IF(AND(F25&gt;='Inputs &amp; Outputs'!B$13,F25&lt;'Inputs &amp; Outputs'!B$13+'Inputs &amp; Outputs'!B$19),1,0)</f>
        <v>1</v>
      </c>
      <c r="J25" s="55">
        <f>I25*'Inputs &amp; Outputs'!B$16*'Benefit Calculations'!G25*('Benefit Calculations'!C$4-'Benefit Calculations'!C$5)</f>
        <v>249.45701102000908</v>
      </c>
      <c r="K25" s="71">
        <f t="shared" si="3"/>
        <v>7.1494672376499549E-2</v>
      </c>
      <c r="L25" s="56">
        <f>K25*'Assumed Values'!$C$8</f>
        <v>536.78200020275858</v>
      </c>
      <c r="M25" s="57">
        <f t="shared" si="0"/>
        <v>129.63987777647731</v>
      </c>
      <c r="N25" s="55">
        <f>I25*'Inputs &amp; Outputs'!B$16*'Benefit Calculations'!G25*('Benefit Calculations'!D$4-'Benefit Calculations'!D$5)</f>
        <v>269.18421675945604</v>
      </c>
      <c r="O25" s="71">
        <f t="shared" si="4"/>
        <v>7.71485127134722E-2</v>
      </c>
      <c r="P25" s="56">
        <f>ABS(O25*'Assumed Values'!$C$7)</f>
        <v>146.96791671916455</v>
      </c>
      <c r="Q25" s="57">
        <f t="shared" si="1"/>
        <v>35.494675218876822</v>
      </c>
      <c r="T25" s="68">
        <f t="shared" si="5"/>
        <v>6.4858822865202365E-2</v>
      </c>
      <c r="U25" s="69">
        <f>T25*'Assumed Values'!$D$8</f>
        <v>0</v>
      </c>
    </row>
    <row r="26" spans="3:21">
      <c r="F26" s="54">
        <f t="shared" si="2"/>
        <v>2040</v>
      </c>
      <c r="G26" s="63">
        <f t="shared" si="6"/>
        <v>45500.167775875372</v>
      </c>
      <c r="H26" s="62">
        <f t="shared" si="8"/>
        <v>1.0468263259458155E-2</v>
      </c>
      <c r="I26" s="54">
        <f>IF(AND(F26&gt;='Inputs &amp; Outputs'!B$13,F26&lt;'Inputs &amp; Outputs'!B$13+'Inputs &amp; Outputs'!B$19),1,0)</f>
        <v>1</v>
      </c>
      <c r="J26" s="55">
        <f>I26*'Inputs &amp; Outputs'!B$16*'Benefit Calculations'!G26*('Benefit Calculations'!C$4-'Benefit Calculations'!C$5)</f>
        <v>252.06839268328409</v>
      </c>
      <c r="K26" s="71">
        <f t="shared" si="3"/>
        <v>7.2243097428585451E-2</v>
      </c>
      <c r="L26" s="56">
        <f>K26*'Assumed Values'!$C$8</f>
        <v>542.40117549381955</v>
      </c>
      <c r="M26" s="57">
        <f t="shared" si="0"/>
        <v>122.42708611772473</v>
      </c>
      <c r="N26" s="55">
        <f>I26*'Inputs &amp; Outputs'!B$16*'Benefit Calculations'!G26*('Benefit Calculations'!D$4-'Benefit Calculations'!D$5)</f>
        <v>272.00210800578509</v>
      </c>
      <c r="O26" s="71">
        <f t="shared" si="4"/>
        <v>7.7956123654632503E-2</v>
      </c>
      <c r="P26" s="56">
        <f>ABS(O26*'Assumed Values'!$C$7)</f>
        <v>148.50641556207492</v>
      </c>
      <c r="Q26" s="57">
        <f t="shared" si="1"/>
        <v>33.519853105959818</v>
      </c>
      <c r="T26" s="68">
        <f t="shared" si="5"/>
        <v>6.553778209765386E-2</v>
      </c>
      <c r="U26" s="69">
        <f>T26*'Assumed Values'!$D$8</f>
        <v>0</v>
      </c>
    </row>
    <row r="27" spans="3:21">
      <c r="F27" s="54">
        <f t="shared" si="2"/>
        <v>2041</v>
      </c>
      <c r="G27" s="63">
        <f t="shared" si="6"/>
        <v>45976.475510502751</v>
      </c>
      <c r="H27" s="62">
        <f t="shared" si="8"/>
        <v>1.0468263259458155E-2</v>
      </c>
      <c r="I27" s="54">
        <f>IF(AND(F27&gt;='Inputs &amp; Outputs'!B$13,F27&lt;'Inputs &amp; Outputs'!B$13+'Inputs &amp; Outputs'!B$19),1,0)</f>
        <v>1</v>
      </c>
      <c r="J27" s="55">
        <f>I27*'Inputs &amp; Outputs'!B$16*'Benefit Calculations'!G27*('Benefit Calculations'!C$4-'Benefit Calculations'!C$5)</f>
        <v>254.70711097728119</v>
      </c>
      <c r="K27" s="71">
        <f t="shared" si="3"/>
        <v>7.2999357191146558E-2</v>
      </c>
      <c r="L27" s="56">
        <f>K27*'Assumed Values'!$C$8</f>
        <v>548.07917379112837</v>
      </c>
      <c r="M27" s="57">
        <f t="shared" si="0"/>
        <v>115.61559353765739</v>
      </c>
      <c r="N27" s="55">
        <f>I27*'Inputs &amp; Outputs'!B$16*'Benefit Calculations'!G27*('Benefit Calculations'!D$4-'Benefit Calculations'!D$5)</f>
        <v>274.84949767951724</v>
      </c>
      <c r="O27" s="71">
        <f t="shared" si="4"/>
        <v>7.8772188879736069E-2</v>
      </c>
      <c r="P27" s="56">
        <f>ABS(O27*'Assumed Values'!$C$7)</f>
        <v>150.0610198158972</v>
      </c>
      <c r="Q27" s="57">
        <f t="shared" si="1"/>
        <v>31.654904441767631</v>
      </c>
      <c r="T27" s="68">
        <f t="shared" si="5"/>
        <v>6.6223848854093117E-2</v>
      </c>
      <c r="U27" s="69">
        <f>T27*'Assumed Values'!$D$8</f>
        <v>0</v>
      </c>
    </row>
    <row r="28" spans="3:21">
      <c r="F28" s="54">
        <f t="shared" si="2"/>
        <v>2042</v>
      </c>
      <c r="G28" s="63">
        <f t="shared" si="6"/>
        <v>46457.769359888727</v>
      </c>
      <c r="H28" s="62">
        <f t="shared" si="8"/>
        <v>1.0468263259458155E-2</v>
      </c>
      <c r="I28" s="54">
        <f>IF(AND(F28&gt;='Inputs &amp; Outputs'!B$13,F28&lt;'Inputs &amp; Outputs'!B$13+'Inputs &amp; Outputs'!B$19),1,0)</f>
        <v>0</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46944.101519995231</v>
      </c>
      <c r="H29" s="62">
        <f t="shared" si="8"/>
        <v>1.0468263259458155E-2</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47435.524733185273</v>
      </c>
      <c r="H30" s="62">
        <f t="shared" si="8"/>
        <v>1.0468263259458155E-2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50494</v>
      </c>
      <c r="H31" s="62">
        <f t="shared" si="8"/>
        <v>1.0468263259458155E-2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51022.584485023079</v>
      </c>
      <c r="H32" s="62">
        <f t="shared" si="8"/>
        <v>1.0468263259458155E-2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51556.702331590248</v>
      </c>
      <c r="H33" s="62">
        <f t="shared" si="8"/>
        <v>1.0468263259458155E-2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52096.411464386852</v>
      </c>
      <c r="H34" s="62">
        <f t="shared" si="8"/>
        <v>1.0468263259458155E-2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52641.770414469109</v>
      </c>
      <c r="H35" s="62">
        <f t="shared" si="8"/>
        <v>1.0468263259458155E-2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53192.83832561173</v>
      </c>
      <c r="H36" s="62">
        <f t="shared" si="8"/>
        <v>1.0468263259458155E-2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4650.6522039055699</v>
      </c>
      <c r="K37" s="55">
        <f t="shared" ref="K37:Q37" si="9">SUM(K4:K36)</f>
        <v>1.3328823844065243</v>
      </c>
      <c r="L37" s="58">
        <f t="shared" si="9"/>
        <v>10007.280942124184</v>
      </c>
      <c r="M37" s="59">
        <f t="shared" si="9"/>
        <v>4247.7560048875457</v>
      </c>
      <c r="N37" s="55">
        <f t="shared" si="9"/>
        <v>5018.4284891818288</v>
      </c>
      <c r="O37" s="55">
        <f t="shared" si="9"/>
        <v>1.4382874997655111</v>
      </c>
      <c r="P37" s="55">
        <f t="shared" si="9"/>
        <v>2739.9376870532988</v>
      </c>
      <c r="Q37" s="59">
        <f t="shared" si="9"/>
        <v>1163.0118940907735</v>
      </c>
      <c r="T37" s="68">
        <f>SUM(T4:T36)</f>
        <v>1.2091695730154484</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F2DE71-EBD9-438A-A16C-34DDE4F9E21F}"/>
</file>

<file path=customXml/itemProps2.xml><?xml version="1.0" encoding="utf-8"?>
<ds:datastoreItem xmlns:ds="http://schemas.openxmlformats.org/officeDocument/2006/customXml" ds:itemID="{EE387B0C-7DF0-49E2-9797-02E83C7F032B}"/>
</file>

<file path=customXml/itemProps3.xml><?xml version="1.0" encoding="utf-8"?>
<ds:datastoreItem xmlns:ds="http://schemas.openxmlformats.org/officeDocument/2006/customXml" ds:itemID="{A9B85F2F-C9A6-4ADD-9609-260C34EFC74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2018-10-31T01:43:56Z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