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4_HW_SH146/"/>
    </mc:Choice>
  </mc:AlternateContent>
  <xr:revisionPtr revIDLastSave="1" documentId="10_ncr:100000_{396FDCB2-A5D7-454A-9369-9BDF93C56419}" xr6:coauthVersionLast="40" xr6:coauthVersionMax="40" xr10:uidLastSave="{AABBFAC4-A981-47B5-9524-7038CB3CB03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E7" i="12"/>
  <c r="F18" i="11"/>
  <c r="B20" i="11"/>
  <c r="F19" i="11"/>
  <c r="E6" i="12"/>
  <c r="D19" i="1"/>
  <c r="D20" i="1"/>
  <c r="D18" i="1"/>
  <c r="B7" i="12"/>
  <c r="L12" i="12"/>
  <c r="L4" i="12"/>
  <c r="B9" i="12"/>
  <c r="H5" i="12"/>
  <c r="Q5" i="12"/>
  <c r="D12" i="1"/>
  <c r="E10" i="1"/>
  <c r="E11" i="1"/>
  <c r="E6" i="1"/>
  <c r="E12" i="1"/>
  <c r="E7" i="1"/>
  <c r="E9" i="1"/>
  <c r="E4" i="1"/>
  <c r="H5" i="1"/>
  <c r="E8" i="1"/>
  <c r="H6" i="1"/>
  <c r="E5" i="1"/>
  <c r="H4" i="1"/>
  <c r="C21" i="1"/>
  <c r="D21" i="1"/>
  <c r="H7" i="1"/>
  <c r="E10" i="12"/>
  <c r="E9" i="12"/>
  <c r="Q4"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Q14" i="12"/>
  <c r="L14" i="12"/>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K4" i="12"/>
  <c r="J4" i="12"/>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B11" i="7"/>
  <c r="B12" i="7"/>
  <c r="H15" i="12"/>
  <c r="R14" i="12"/>
  <c r="E12" i="12"/>
  <c r="F20" i="11"/>
  <c r="P4" i="12"/>
  <c r="S4" i="12"/>
  <c r="T4" i="12"/>
  <c r="M35" i="12"/>
  <c r="M21" i="12"/>
  <c r="M15" i="12"/>
  <c r="M26" i="12"/>
  <c r="M33" i="12"/>
  <c r="M29" i="12"/>
  <c r="M32" i="12"/>
  <c r="M17" i="12"/>
  <c r="M13" i="12"/>
  <c r="M19" i="12"/>
  <c r="M23" i="12"/>
  <c r="M34" i="12"/>
  <c r="M16" i="12"/>
  <c r="M12" i="12"/>
  <c r="M30" i="12"/>
  <c r="M36" i="12"/>
  <c r="M28" i="12"/>
  <c r="M27" i="12"/>
  <c r="M22" i="12"/>
  <c r="M31" i="12"/>
  <c r="M20" i="12"/>
  <c r="M25" i="12"/>
  <c r="M14" i="12"/>
  <c r="M24" i="12"/>
  <c r="M18" i="12"/>
  <c r="E5" i="12"/>
  <c r="M11" i="12"/>
  <c r="E8" i="12"/>
  <c r="I4" i="12"/>
  <c r="H16" i="12"/>
  <c r="L15" i="12"/>
  <c r="Q15" i="12"/>
  <c r="R15" i="12"/>
  <c r="M7" i="12"/>
  <c r="M5" i="12"/>
  <c r="J5" i="12"/>
  <c r="M6" i="12"/>
  <c r="J6" i="12"/>
  <c r="M10" i="12"/>
  <c r="M8" i="12"/>
  <c r="M9" i="12"/>
  <c r="F21" i="11"/>
  <c r="F22" i="11"/>
  <c r="F23" i="11"/>
  <c r="N4" i="12"/>
  <c r="E11" i="12"/>
  <c r="E13" i="12"/>
  <c r="K5" i="12"/>
  <c r="K6" i="12"/>
  <c r="P6" i="12"/>
  <c r="S6" i="12"/>
  <c r="T6" i="12"/>
  <c r="I5" i="12"/>
  <c r="I6" i="12"/>
  <c r="I7" i="12"/>
  <c r="I8" i="12"/>
  <c r="L16" i="12"/>
  <c r="H17" i="12"/>
  <c r="R16" i="12"/>
  <c r="Q16" i="12"/>
  <c r="N5" i="12"/>
  <c r="O4" i="12"/>
  <c r="J7" i="12"/>
  <c r="K7" i="12"/>
  <c r="P7" i="12"/>
  <c r="S7" i="12"/>
  <c r="T7" i="12"/>
  <c r="P5" i="12"/>
  <c r="S5" i="12"/>
  <c r="T5" i="12"/>
  <c r="H18" i="12"/>
  <c r="Q17" i="12"/>
  <c r="L17" i="12"/>
  <c r="R17"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N6" i="12"/>
  <c r="O5" i="12"/>
  <c r="R18" i="12"/>
  <c r="H19" i="12"/>
  <c r="L18" i="12"/>
  <c r="Q18" i="12"/>
  <c r="N7" i="12"/>
  <c r="O6" i="12"/>
  <c r="R19" i="12"/>
  <c r="L19" i="12"/>
  <c r="Q19" i="12"/>
  <c r="H20" i="12"/>
  <c r="O7" i="12"/>
  <c r="N8" i="12"/>
  <c r="Q20" i="12"/>
  <c r="R20" i="12"/>
  <c r="H21" i="12"/>
  <c r="L20" i="12"/>
  <c r="B29" i="11"/>
  <c r="O8" i="12"/>
  <c r="N9" i="12"/>
  <c r="H22" i="12"/>
  <c r="R21" i="12"/>
  <c r="L21" i="12"/>
  <c r="Q21" i="12"/>
  <c r="G29" i="11"/>
  <c r="F4" i="12"/>
  <c r="J8" i="12"/>
  <c r="F29" i="11"/>
  <c r="E4" i="12"/>
  <c r="K8" i="12"/>
  <c r="K9" i="12"/>
  <c r="K10" i="12"/>
  <c r="K11" i="12"/>
  <c r="K12" i="12"/>
  <c r="K13" i="12"/>
  <c r="K14" i="12"/>
  <c r="K15" i="12"/>
  <c r="K16" i="12"/>
  <c r="K17" i="12"/>
  <c r="K18" i="12"/>
  <c r="K19" i="12"/>
  <c r="K20" i="12"/>
  <c r="K21" i="12"/>
  <c r="K22" i="12"/>
  <c r="O9" i="12"/>
  <c r="N10" i="12"/>
  <c r="J9" i="12"/>
  <c r="P8" i="12"/>
  <c r="S8" i="12"/>
  <c r="T8" i="12"/>
  <c r="L22" i="12"/>
  <c r="R22" i="12"/>
  <c r="H23" i="12"/>
  <c r="Q22" i="12"/>
  <c r="N11" i="12"/>
  <c r="O10" i="12"/>
  <c r="R23" i="12"/>
  <c r="L23" i="12"/>
  <c r="Q23" i="12"/>
  <c r="H24" i="12"/>
  <c r="K23" i="12"/>
  <c r="K24" i="12"/>
  <c r="J10" i="12"/>
  <c r="P9" i="12"/>
  <c r="S9" i="12"/>
  <c r="T9" i="12"/>
  <c r="O11" i="12"/>
  <c r="N12" i="12"/>
  <c r="P10" i="12"/>
  <c r="S10" i="12"/>
  <c r="T10" i="12"/>
  <c r="J11" i="12"/>
  <c r="L24" i="12"/>
  <c r="H25" i="12"/>
  <c r="Q24" i="12"/>
  <c r="R24" i="12"/>
  <c r="N13" i="12"/>
  <c r="O12" i="12"/>
  <c r="L25" i="12"/>
  <c r="R25" i="12"/>
  <c r="Q25" i="12"/>
  <c r="H26" i="12"/>
  <c r="K25" i="12"/>
  <c r="K26" i="12"/>
  <c r="J12" i="12"/>
  <c r="P11" i="12"/>
  <c r="S11" i="12"/>
  <c r="T11" i="12"/>
  <c r="N14" i="12"/>
  <c r="O13" i="12"/>
  <c r="L26" i="12"/>
  <c r="Q26" i="12"/>
  <c r="R26" i="12"/>
  <c r="H27" i="12"/>
  <c r="P12" i="12"/>
  <c r="S12" i="12"/>
  <c r="T12" i="12"/>
  <c r="J13" i="12"/>
  <c r="N15" i="12"/>
  <c r="O14" i="12"/>
  <c r="J14" i="12"/>
  <c r="P13" i="12"/>
  <c r="S13" i="12"/>
  <c r="T13" i="12"/>
  <c r="L27" i="12"/>
  <c r="R27" i="12"/>
  <c r="H28" i="12"/>
  <c r="Q27" i="12"/>
  <c r="K27" i="12"/>
  <c r="K28" i="12"/>
  <c r="O15" i="12"/>
  <c r="N16" i="12"/>
  <c r="L28" i="12"/>
  <c r="R28" i="12"/>
  <c r="H29" i="12"/>
  <c r="Q28" i="12"/>
  <c r="K29" i="12"/>
  <c r="P14" i="12"/>
  <c r="S14" i="12"/>
  <c r="T14" i="12"/>
  <c r="J15" i="12"/>
  <c r="O16" i="12"/>
  <c r="N17" i="12"/>
  <c r="L29" i="12"/>
  <c r="Q29" i="12"/>
  <c r="R29" i="12"/>
  <c r="H30" i="12"/>
  <c r="K30" i="12"/>
  <c r="J16" i="12"/>
  <c r="P15" i="12"/>
  <c r="S15" i="12"/>
  <c r="T15" i="12"/>
  <c r="O17" i="12"/>
  <c r="N18" i="12"/>
  <c r="R30" i="12"/>
  <c r="Q30" i="12"/>
  <c r="H31" i="12"/>
  <c r="L30" i="12"/>
  <c r="J17" i="12"/>
  <c r="P16" i="12"/>
  <c r="S16" i="12"/>
  <c r="T16" i="12"/>
  <c r="O18" i="12"/>
  <c r="N19" i="12"/>
  <c r="Q31" i="12"/>
  <c r="H32" i="12"/>
  <c r="R31" i="12"/>
  <c r="L31" i="12"/>
  <c r="P17" i="12"/>
  <c r="S17" i="12"/>
  <c r="T17" i="12"/>
  <c r="J18" i="12"/>
  <c r="K31" i="12"/>
  <c r="K32" i="12"/>
  <c r="N20" i="12"/>
  <c r="O19" i="12"/>
  <c r="P18" i="12"/>
  <c r="S18" i="12"/>
  <c r="T18" i="12"/>
  <c r="J19" i="12"/>
  <c r="H33" i="12"/>
  <c r="K33" i="12"/>
  <c r="L32" i="12"/>
  <c r="R32" i="12"/>
  <c r="Q32" i="12"/>
  <c r="O20" i="12"/>
  <c r="N21" i="12"/>
  <c r="J20" i="12"/>
  <c r="P19" i="12"/>
  <c r="S19" i="12"/>
  <c r="T19" i="12"/>
  <c r="R33" i="12"/>
  <c r="Q33" i="12"/>
  <c r="H34" i="12"/>
  <c r="L33" i="12"/>
  <c r="N22" i="12"/>
  <c r="O21" i="12"/>
  <c r="H35" i="12"/>
  <c r="R34" i="12"/>
  <c r="Q34" i="12"/>
  <c r="L34" i="12"/>
  <c r="J21" i="12"/>
  <c r="P20" i="12"/>
  <c r="S20" i="12"/>
  <c r="T20" i="12"/>
  <c r="K34" i="12"/>
  <c r="K35" i="12"/>
  <c r="N23" i="12"/>
  <c r="O22" i="12"/>
  <c r="P21" i="12"/>
  <c r="S21" i="12"/>
  <c r="T21" i="12"/>
  <c r="J22" i="12"/>
  <c r="H36" i="12"/>
  <c r="R35" i="12"/>
  <c r="L35" i="12"/>
  <c r="Q35" i="12"/>
  <c r="O23" i="12"/>
  <c r="N24" i="12"/>
  <c r="L36" i="12"/>
  <c r="R36" i="12"/>
  <c r="Q36" i="12"/>
  <c r="K36" i="12"/>
  <c r="J23" i="12"/>
  <c r="P22" i="12"/>
  <c r="S22" i="12"/>
  <c r="T22" i="12"/>
  <c r="N25" i="12"/>
  <c r="O24" i="12"/>
  <c r="P23" i="12"/>
  <c r="S23" i="12"/>
  <c r="T23" i="12"/>
  <c r="J24" i="12"/>
  <c r="N26" i="12"/>
  <c r="O25" i="12"/>
  <c r="J25" i="12"/>
  <c r="P24" i="12"/>
  <c r="S24" i="12"/>
  <c r="T24" i="12"/>
  <c r="N27" i="12"/>
  <c r="O26" i="12"/>
  <c r="P25" i="12"/>
  <c r="S25" i="12"/>
  <c r="T25" i="12"/>
  <c r="J26" i="12"/>
  <c r="O27" i="12"/>
  <c r="N28" i="12"/>
  <c r="J27" i="12"/>
  <c r="P26" i="12"/>
  <c r="S26" i="12"/>
  <c r="T26" i="12"/>
  <c r="N29" i="12"/>
  <c r="O28" i="12"/>
  <c r="P27" i="12"/>
  <c r="S27" i="12"/>
  <c r="T27" i="12"/>
  <c r="J28" i="12"/>
  <c r="N30" i="12"/>
  <c r="O29" i="12"/>
  <c r="J29" i="12"/>
  <c r="P28" i="12"/>
  <c r="S28" i="12"/>
  <c r="T28" i="12"/>
  <c r="O30" i="12"/>
  <c r="N31" i="12"/>
  <c r="P29" i="12"/>
  <c r="S29" i="12"/>
  <c r="T29" i="12"/>
  <c r="J30" i="12"/>
  <c r="O31" i="12"/>
  <c r="N32" i="12"/>
  <c r="J31" i="12"/>
  <c r="P30" i="12"/>
  <c r="S30" i="12"/>
  <c r="T30" i="12"/>
  <c r="O32" i="12"/>
  <c r="N33" i="12"/>
  <c r="J32" i="12"/>
  <c r="P31" i="12"/>
  <c r="S31" i="12"/>
  <c r="T31" i="12"/>
  <c r="O33" i="12"/>
  <c r="N34" i="12"/>
  <c r="P32" i="12"/>
  <c r="S32" i="12"/>
  <c r="T32" i="12"/>
  <c r="J33" i="12"/>
  <c r="N35" i="12"/>
  <c r="O34" i="12"/>
  <c r="P33" i="12"/>
  <c r="S33" i="12"/>
  <c r="T33" i="12"/>
  <c r="J34" i="12"/>
  <c r="O35" i="12"/>
  <c r="N36" i="12"/>
  <c r="O36"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<sst xmlns="http://schemas.openxmlformats.org/spreadsheetml/2006/main" count="292" uniqueCount="238">
  <si>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</si>
  <si>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</si>
  <si>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</si>
  <si>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</si>
  <si>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</si>
  <si>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</si>
  <si>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</si>
  <si>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</si>
  <si>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</si>
  <si>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</si>
  <si>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</si>
  <si>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</si>
  <si>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</si>
  <si>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</si>
  <si>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</si>
  <si>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</si>
  <si>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</si>
  <si>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</si>
  <si>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</si>
  <si>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</si>
  <si>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</si>
  <si>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</si>
  <si>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</si>
  <si>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</si>
  <si>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</si>
  <si>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</si>
  <si>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</si>
  <si>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</si>
  <si>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</si>
  <si>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</si>
  <si>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</si>
  <si>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</si>
  <si>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</si>
  <si>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</si>
  <si>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</si>
  <si>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</si>
  <si>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</si>
  <si>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</si>
  <si>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</si>
  <si>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</si>
  <si>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</si>
  <si>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</si>
  <si>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</si>
  <si>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</si>
  <si>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</si>
  <si>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</si>
  <si>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</si>
  <si>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</si>
  <si>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</si>
  <si>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146 Baytown Grade Separation</t>
  </si>
  <si>
    <t>Data entered by the sponsors</t>
  </si>
  <si>
    <t>County</t>
  </si>
  <si>
    <t>Harris</t>
  </si>
  <si>
    <t>HGAC regional travel demand model data provided by HGAC</t>
  </si>
  <si>
    <t>Facility Type</t>
  </si>
  <si>
    <t>Freeway</t>
  </si>
  <si>
    <t>Data populated/calculated based on inputs</t>
  </si>
  <si>
    <t>Street Name:</t>
  </si>
  <si>
    <t xml:space="preserve">SH 146 </t>
  </si>
  <si>
    <t>Benefits calculated by the template</t>
  </si>
  <si>
    <t>Limits (From)</t>
  </si>
  <si>
    <t>FERRY RD</t>
  </si>
  <si>
    <t>Limits (To)</t>
  </si>
  <si>
    <t>BS 146E</t>
  </si>
  <si>
    <t>Length (in Miles)</t>
  </si>
  <si>
    <t>Application ID Number:</t>
  </si>
  <si>
    <t>Sponsor ID Number (CSJ, etc.):</t>
  </si>
  <si>
    <t>0389-13-039</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</si>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</sst>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0" zoomScale="115" zoomScaleNormal="115" workbookViewId="0" xr3:uid="{51F8DEE0-4D01-5F28-A812-FC0BD7CAC4A5}">
      <selection activeCell="B33" sqref="B33"/>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63" t="s">
        <v>58</v>
      </c>
      <c r="D9" s="88"/>
      <c r="E9" s="85" t="s">
        <v>59</v>
      </c>
    </row>
    <row r="10" spans="1:7">
      <c r="A10" s="7" t="s">
        <v>60</v>
      </c>
      <c r="B10" s="63" t="s">
        <v>61</v>
      </c>
    </row>
    <row r="11" spans="1:7">
      <c r="A11" s="7" t="s">
        <v>62</v>
      </c>
      <c r="B11" s="63" t="s">
        <v>63</v>
      </c>
    </row>
    <row r="12" spans="1:7">
      <c r="A12" s="7" t="s">
        <v>64</v>
      </c>
      <c r="B12" s="63">
        <v>1</v>
      </c>
    </row>
    <row r="13" spans="1:7">
      <c r="A13" s="7" t="s">
        <v>65</v>
      </c>
      <c r="B13" s="116"/>
      <c r="F13" s="99"/>
    </row>
    <row r="14" spans="1:7">
      <c r="A14" s="7" t="s">
        <v>66</v>
      </c>
      <c r="B14" s="116" t="s">
        <v>67</v>
      </c>
    </row>
    <row r="17" spans="1:7">
      <c r="A17" s="98" t="s">
        <v>68</v>
      </c>
      <c r="E17" s="130" t="s">
        <v>69</v>
      </c>
      <c r="F17" s="131"/>
    </row>
    <row r="18" spans="1:7">
      <c r="A18" s="7" t="s">
        <v>70</v>
      </c>
      <c r="B18" s="117">
        <v>2022</v>
      </c>
      <c r="E18" s="87" t="s">
        <v>71</v>
      </c>
      <c r="F18" s="122">
        <f>$B$12/$B$32</f>
        <v>0.02</v>
      </c>
    </row>
    <row r="19" spans="1:7" ht="30">
      <c r="A19" s="7" t="s">
        <v>72</v>
      </c>
      <c r="B19" s="118" t="s">
        <v>73</v>
      </c>
      <c r="E19" s="89" t="s">
        <v>74</v>
      </c>
      <c r="F19" s="123">
        <f>$B$12/$B$33</f>
        <v>0.04</v>
      </c>
    </row>
    <row r="20" spans="1:7" ht="30">
      <c r="A20" s="113" t="s">
        <v>75</v>
      </c>
      <c r="B20" s="114">
        <f>VLOOKUP(B19,'Delay Reduction Factors'!B4:C80,2, FALSE)</f>
        <v>0.2</v>
      </c>
      <c r="E20" s="89" t="s">
        <v>76</v>
      </c>
      <c r="F20" s="122">
        <f>$F$19-$F$18</f>
        <v>0.02</v>
      </c>
    </row>
    <row r="21" spans="1:7">
      <c r="A21" s="7" t="s">
        <v>77</v>
      </c>
      <c r="B21" s="63">
        <v>30</v>
      </c>
      <c r="D21" s="100"/>
      <c r="E21" s="87" t="s">
        <v>78</v>
      </c>
      <c r="F21" s="122">
        <f>$F$20*$B$20</f>
        <v>4.0000000000000001E-3</v>
      </c>
      <c r="G21" s="101"/>
    </row>
    <row r="22" spans="1:7">
      <c r="D22" s="100"/>
      <c r="E22" s="87" t="s">
        <v>79</v>
      </c>
      <c r="F22" s="122">
        <f>$F$20-$F$21</f>
        <v>1.6E-2</v>
      </c>
      <c r="G22" s="101"/>
    </row>
    <row r="23" spans="1:7">
      <c r="E23" s="87" t="s">
        <v>80</v>
      </c>
      <c r="F23" s="122">
        <f>$F$18+$F$22</f>
        <v>3.6000000000000004E-2</v>
      </c>
    </row>
    <row r="24" spans="1:7">
      <c r="A24" s="98" t="s">
        <v>81</v>
      </c>
      <c r="B24" s="102"/>
      <c r="D24" s="100"/>
    </row>
    <row r="25" spans="1:7">
      <c r="A25" s="7" t="s">
        <v>82</v>
      </c>
      <c r="B25" s="126">
        <v>42103</v>
      </c>
      <c r="D25" s="100"/>
    </row>
    <row r="28" spans="1:7">
      <c r="A28" s="87" t="s">
        <v>83</v>
      </c>
      <c r="B28" s="112">
        <f>IF(FacilityType='Delay Reduction Factors'!N5,'Inputs &amp; Outputs'!B25*45%, B25*43%)</f>
        <v>18946.350000000002</v>
      </c>
      <c r="D28" s="100"/>
      <c r="E28" s="103" t="s">
        <v>84</v>
      </c>
      <c r="F28" s="104" t="s">
        <v>2</v>
      </c>
      <c r="G28" s="105" t="s">
        <v>85</v>
      </c>
    </row>
    <row r="29" spans="1:7">
      <c r="A29" s="87" t="s">
        <v>86</v>
      </c>
      <c r="B29" s="95">
        <f>VLOOKUP(Year_Open_to_Traffic?,Calculations!H4:I36,2)</f>
        <v>18261.407446527606</v>
      </c>
      <c r="D29" s="100"/>
      <c r="E29" s="89" t="s">
        <v>87</v>
      </c>
      <c r="F29" s="83">
        <f>$B$29*$F$23</f>
        <v>657.41066807499385</v>
      </c>
      <c r="G29" s="84">
        <f>$B$29*$F$19</f>
        <v>730.4562978611043</v>
      </c>
    </row>
    <row r="30" spans="1:7">
      <c r="B30" s="82"/>
      <c r="D30" s="100"/>
    </row>
    <row r="32" spans="1:7">
      <c r="A32" s="106" t="s">
        <v>88</v>
      </c>
      <c r="B32" s="119">
        <v>50</v>
      </c>
      <c r="D32" s="100"/>
    </row>
    <row r="33" spans="1:7" ht="30">
      <c r="A33" s="107" t="s">
        <v>89</v>
      </c>
      <c r="B33" s="120">
        <v>25</v>
      </c>
      <c r="D33" s="100"/>
      <c r="E33" s="100"/>
      <c r="F33" s="108"/>
    </row>
    <row r="34" spans="1:7">
      <c r="A34" s="109"/>
      <c r="B34" s="121"/>
      <c r="F34" s="108"/>
      <c r="G34" s="108"/>
    </row>
    <row r="35" spans="1:7">
      <c r="A35" s="87" t="s">
        <v>90</v>
      </c>
      <c r="B35" s="125">
        <f>$B$28</f>
        <v>18946.350000000002</v>
      </c>
    </row>
    <row r="36" spans="1:7">
      <c r="A36" s="106" t="s">
        <v>91</v>
      </c>
      <c r="B36" s="119">
        <v>49287</v>
      </c>
    </row>
    <row r="37" spans="1:7">
      <c r="A37" s="106" t="s">
        <v>92</v>
      </c>
      <c r="B37" s="119">
        <v>17764</v>
      </c>
    </row>
    <row r="38" spans="1:7">
      <c r="A38" s="106" t="s">
        <v>93</v>
      </c>
      <c r="B38" s="119">
        <v>59831</v>
      </c>
    </row>
    <row r="39" spans="1:7">
      <c r="A39" s="106" t="s">
        <v>94</v>
      </c>
      <c r="B39" s="119">
        <v>23127</v>
      </c>
    </row>
    <row r="40" spans="1:7">
      <c r="A40" s="106" t="s">
        <v>95</v>
      </c>
      <c r="B40" s="119">
        <v>59831</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7091.9207980948231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170926.77369949842</v>
      </c>
      <c r="F4" s="21">
        <f>'Inputs &amp; Outputs'!G29*Annual_Days_of_Travel</f>
        <v>189918.63744388713</v>
      </c>
      <c r="H4" s="49">
        <v>2018</v>
      </c>
      <c r="I4" s="50">
        <f>'Inputs &amp; Outputs'!B28</f>
        <v>18946.350000000002</v>
      </c>
      <c r="J4" s="50">
        <f>IF(H4=Year_Open_to_Traffic?,$F$4,0)</f>
        <v>0</v>
      </c>
      <c r="K4" s="50">
        <f>IF(H4=Year_Open_to_Traffic?,Calculations!$E$4,0)</f>
        <v>0</v>
      </c>
      <c r="L4" s="50">
        <f>IF(AND(H4&gt;=Year_Open_to_Traffic?, Calculations!H4&lt;Year_Open_to_Traffic?+'Inputs &amp; Outputs'!B$21), 1, 0)</f>
        <v>0</v>
      </c>
      <c r="M4" s="65" t="s">
        <v>111</v>
      </c>
      <c r="N4" s="66">
        <f>MIN(E8,1)</f>
        <v>0.38440866759997572</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-9.1630982181689635E-3</v>
      </c>
      <c r="F5" s="26"/>
      <c r="H5" s="14">
        <f t="shared" ref="H5:H36" si="3">H4+1</f>
        <v>2019</v>
      </c>
      <c r="I5" s="79">
        <f>(I4*M5)+I4</f>
        <v>18772.742734074196</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-9.1630982181689635E-3</v>
      </c>
      <c r="N5" s="71">
        <f t="shared" ref="N5:N11" si="6">N4*(1+IFERROR(_2018_2025_V_C_Growth,_2018_2045_V_C_Growth))</f>
        <v>0.37048245635897331</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1.3278731019369605E-2</v>
      </c>
      <c r="F6" s="26"/>
      <c r="H6" s="49">
        <f t="shared" si="3"/>
        <v>2020</v>
      </c>
      <c r="I6" s="79">
        <f t="shared" ref="I6:I36" si="10">(I5*M6)+I5</f>
        <v>18600.726248577455</v>
      </c>
      <c r="J6" s="50">
        <f t="shared" si="4"/>
        <v>0</v>
      </c>
      <c r="K6" s="50">
        <f>IF(H6=Year_Open_to_Traffic?,Calculations!$E$4,K5+(K5*M6))</f>
        <v>0</v>
      </c>
      <c r="L6" s="50">
        <f>IF(AND(H6&gt;=Year_Open_to_Traffic?, Calculations!H6&lt;Year_Open_to_Traffic?+'Inputs &amp; Outputs'!B$21), 1, 0)</f>
        <v>0</v>
      </c>
      <c r="M6" s="65">
        <f t="shared" si="5"/>
        <v>-9.1630982181689635E-3</v>
      </c>
      <c r="N6" s="71">
        <f t="shared" si="6"/>
        <v>0.35706075861070735</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7.4121298559959303E-3</v>
      </c>
      <c r="F7" s="26"/>
      <c r="H7" s="14">
        <f t="shared" si="3"/>
        <v>2021</v>
      </c>
      <c r="I7" s="79">
        <f t="shared" si="10"/>
        <v>18430.285967032465</v>
      </c>
      <c r="J7" s="50">
        <f t="shared" si="4"/>
        <v>0</v>
      </c>
      <c r="K7" s="50">
        <f>IF(H7=Year_Open_to_Traffic?,Calculations!$E$4,K6+(K6*M7))</f>
        <v>0</v>
      </c>
      <c r="L7" s="50">
        <f>IF(AND(H7&gt;=Year_Open_to_Traffic?, Calculations!H7&lt;Year_Open_to_Traffic?+'Inputs &amp; Outputs'!B$21), 1, 0)</f>
        <v>0</v>
      </c>
      <c r="M7" s="65">
        <f t="shared" si="5"/>
        <v>-9.1630982181689635E-3</v>
      </c>
      <c r="N7" s="71">
        <f t="shared" si="6"/>
        <v>0.34412529703193834</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0.38440866759997572</v>
      </c>
      <c r="F8" s="26"/>
      <c r="H8" s="49">
        <f t="shared" si="3"/>
        <v>2022</v>
      </c>
      <c r="I8" s="79">
        <f t="shared" si="10"/>
        <v>18261.407446527606</v>
      </c>
      <c r="J8" s="50">
        <f t="shared" si="4"/>
        <v>189918.63744388713</v>
      </c>
      <c r="K8" s="50">
        <f>IF(H8=Year_Open_to_Traffic?,Calculations!$E$4,K7+(K7*M8))</f>
        <v>170926.77369949842</v>
      </c>
      <c r="L8" s="50">
        <f>IF(AND(H8&gt;=Year_Open_to_Traffic?, Calculations!H8&lt;Year_Open_to_Traffic?+'Inputs &amp; Outputs'!B$21), 1, 0)</f>
        <v>1</v>
      </c>
      <c r="M8" s="65">
        <f t="shared" si="5"/>
        <v>-9.1630982181689635E-3</v>
      </c>
      <c r="N8" s="71">
        <f t="shared" si="6"/>
        <v>0.33165845644335279</v>
      </c>
      <c r="O8" s="72">
        <f t="shared" si="7"/>
        <v>1</v>
      </c>
      <c r="P8" s="68">
        <f>(J8-K8)*L8</f>
        <v>18991.863744388713</v>
      </c>
      <c r="Q8" s="69">
        <f>IF(AND(H8&gt;=Year_Open_to_Traffic?,H8&lt;Year_Open_to_Traffic?+Years_to_include_in_BCA_Analysis),1,0)</f>
        <v>1</v>
      </c>
      <c r="R8" s="70">
        <f t="shared" si="1"/>
        <v>19.416758600864465</v>
      </c>
      <c r="S8" s="77">
        <f t="shared" si="2"/>
        <v>512.5770028503747</v>
      </c>
      <c r="T8" s="64">
        <f t="shared" si="9"/>
        <v>391.04254128022154</v>
      </c>
      <c r="W8" s="58"/>
      <c r="X8" s="58"/>
    </row>
    <row r="9" spans="1:24">
      <c r="A9" s="17" t="s">
        <v>118</v>
      </c>
      <c r="B9" s="17">
        <f>'Inputs &amp; Outputs'!B21</f>
        <v>30</v>
      </c>
      <c r="D9" s="17" t="s">
        <v>119</v>
      </c>
      <c r="E9" s="22">
        <f>_2025_PeakVolume/_2025_Capacity</f>
        <v>0.29690294329026756</v>
      </c>
      <c r="F9" s="26"/>
      <c r="H9" s="14">
        <f t="shared" si="3"/>
        <v>2023</v>
      </c>
      <c r="I9" s="79">
        <f t="shared" si="10"/>
        <v>18094.076376493071</v>
      </c>
      <c r="J9" s="50">
        <f t="shared" si="4"/>
        <v>188178.39431552796</v>
      </c>
      <c r="K9" s="50">
        <f>IF(H9=Year_Open_to_Traffic?,Calculations!$E$4,K8+(K8*M9))</f>
        <v>169360.55488397516</v>
      </c>
      <c r="L9" s="50">
        <f>IF(AND(H9&gt;=Year_Open_to_Traffic?, Calculations!H9&lt;Year_Open_to_Traffic?+'Inputs &amp; Outputs'!B$21), 1, 0)</f>
        <v>1</v>
      </c>
      <c r="M9" s="65">
        <f t="shared" si="5"/>
        <v>-9.1630982181689635E-3</v>
      </c>
      <c r="N9" s="71">
        <f t="shared" si="6"/>
        <v>0.31964325982166447</v>
      </c>
      <c r="O9" s="72">
        <f t="shared" si="7"/>
        <v>1</v>
      </c>
      <c r="P9" s="68">
        <f t="shared" si="8"/>
        <v>18817.839431552798</v>
      </c>
      <c r="Q9" s="69">
        <f t="shared" si="0"/>
        <v>1</v>
      </c>
      <c r="R9" s="70">
        <f t="shared" si="1"/>
        <v>19.863344048684343</v>
      </c>
      <c r="S9" s="77">
        <f t="shared" si="2"/>
        <v>519.56145424574629</v>
      </c>
      <c r="T9" s="64">
        <f t="shared" si="9"/>
        <v>370.44013626965341</v>
      </c>
      <c r="W9" s="58"/>
    </row>
    <row r="10" spans="1:24">
      <c r="D10" s="17" t="s">
        <v>120</v>
      </c>
      <c r="E10" s="22">
        <f>_2045_PeakVolume/_2045_Capacity</f>
        <v>0.386538750814795</v>
      </c>
      <c r="F10" s="26"/>
      <c r="H10" s="49">
        <f t="shared" si="3"/>
        <v>2024</v>
      </c>
      <c r="I10" s="79">
        <f t="shared" si="10"/>
        <v>17928.278577488214</v>
      </c>
      <c r="J10" s="50">
        <f t="shared" si="4"/>
        <v>186454.09720587745</v>
      </c>
      <c r="K10" s="50">
        <f>IF(H10=Year_Open_to_Traffic?,Calculations!$E$4,K9+(K9*M10))</f>
        <v>167808.6874852897</v>
      </c>
      <c r="L10" s="50">
        <f>IF(AND(H10&gt;=Year_Open_to_Traffic?, Calculations!H10&lt;Year_Open_to_Traffic?+'Inputs &amp; Outputs'!B$21), 1, 0)</f>
        <v>1</v>
      </c>
      <c r="M10" s="65">
        <f t="shared" si="5"/>
        <v>-9.1630982181689635E-3</v>
      </c>
      <c r="N10" s="71">
        <f t="shared" si="6"/>
        <v>0.3080633451807403</v>
      </c>
      <c r="O10" s="72">
        <f t="shared" si="7"/>
        <v>1</v>
      </c>
      <c r="P10" s="68">
        <f>(J10-K10)*L10</f>
        <v>18645.409720587748</v>
      </c>
      <c r="Q10" s="69">
        <f t="shared" si="0"/>
        <v>1</v>
      </c>
      <c r="R10" s="70">
        <f t="shared" si="1"/>
        <v>20.320200961804083</v>
      </c>
      <c r="S10" s="77">
        <f t="shared" si="2"/>
        <v>526.64107682715053</v>
      </c>
      <c r="T10" s="64">
        <f t="shared" si="9"/>
        <v>350.92318628612634</v>
      </c>
      <c r="W10" s="58"/>
    </row>
    <row r="11" spans="1:24" ht="30" customHeight="1">
      <c r="A11" s="132" t="s">
        <v>121</v>
      </c>
      <c r="B11" s="133"/>
      <c r="D11" s="17" t="s">
        <v>122</v>
      </c>
      <c r="E11" s="39">
        <f>(E9/E8)^(1/(2025-2018))-1</f>
        <v>-3.6227620277007766E-2</v>
      </c>
      <c r="F11" s="26"/>
      <c r="H11" s="14">
        <f t="shared" si="3"/>
        <v>2025</v>
      </c>
      <c r="I11" s="79">
        <f t="shared" si="10"/>
        <v>17763.999999999996</v>
      </c>
      <c r="J11" s="50">
        <f t="shared" si="4"/>
        <v>184745.59999999998</v>
      </c>
      <c r="K11" s="50">
        <f>IF(H11=Year_Open_to_Traffic?,Calculations!$E$4,K10+(K10*M11))</f>
        <v>166271.03999999998</v>
      </c>
      <c r="L11" s="50">
        <f>IF(AND(H11&gt;=Year_Open_to_Traffic?, Calculations!H11&lt;Year_Open_to_Traffic?+'Inputs &amp; Outputs'!B$21), 1, 0)</f>
        <v>1</v>
      </c>
      <c r="M11" s="65">
        <f t="shared" si="5"/>
        <v>-9.1630982181689635E-3</v>
      </c>
      <c r="N11" s="71">
        <f t="shared" si="6"/>
        <v>0.29690294329026767</v>
      </c>
      <c r="O11" s="72">
        <f t="shared" si="7"/>
        <v>1</v>
      </c>
      <c r="P11" s="68">
        <f t="shared" si="8"/>
        <v>18474.559999999998</v>
      </c>
      <c r="Q11" s="69">
        <f t="shared" si="0"/>
        <v>1</v>
      </c>
      <c r="R11" s="70">
        <f t="shared" si="1"/>
        <v>20.787565583925574</v>
      </c>
      <c r="S11" s="77">
        <f t="shared" si="2"/>
        <v>533.81716741149353</v>
      </c>
      <c r="T11" s="64">
        <f t="shared" si="9"/>
        <v>332.43450321907113</v>
      </c>
      <c r="W11" s="58"/>
    </row>
    <row r="12" spans="1:24">
      <c r="A12" s="17" t="s">
        <v>55</v>
      </c>
      <c r="B12" s="18">
        <v>0.45</v>
      </c>
      <c r="D12" s="17" t="s">
        <v>123</v>
      </c>
      <c r="E12" s="39">
        <f>(E10/E9)^(1/(2045-2025))-1</f>
        <v>1.3278731019369605E-2</v>
      </c>
      <c r="F12" s="26"/>
      <c r="H12" s="49">
        <v>2026</v>
      </c>
      <c r="I12" s="79">
        <f t="shared" si="10"/>
        <v>17999.883377828079</v>
      </c>
      <c r="J12" s="50">
        <f t="shared" si="4"/>
        <v>187198.78712941203</v>
      </c>
      <c r="K12" s="50">
        <f>IF(H12=Year_Open_to_Traffic?,Calculations!$E$4,K11+(K11*M12))</f>
        <v>168478.90841647083</v>
      </c>
      <c r="L12" s="50">
        <f>IF(AND(H12&gt;=Year_Open_to_Traffic?, Calculations!H12&lt;Year_Open_to_Traffic?+'Inputs &amp; Outputs'!B$21), 1, 0)</f>
        <v>1</v>
      </c>
      <c r="M12" s="65">
        <f t="shared" ref="M12:M36" si="11">IFERROR(_2025_2045_Demand_Growth,_2018_2045_Demand_Growth)</f>
        <v>1.3278731019369605E-2</v>
      </c>
      <c r="N12" s="71">
        <f t="shared" ref="N12:N36" si="12">N11*(1+IFERROR(_2025_2045_V_C_Growth,_2018_2045_V_C_Growth))</f>
        <v>0.3008454376130783</v>
      </c>
      <c r="O12" s="72">
        <f t="shared" si="7"/>
        <v>1</v>
      </c>
      <c r="P12" s="68">
        <f t="shared" si="8"/>
        <v>18719.878712941194</v>
      </c>
      <c r="Q12" s="69">
        <f t="shared" si="0"/>
        <v>1</v>
      </c>
      <c r="R12" s="70">
        <f t="shared" si="1"/>
        <v>21.265679592355859</v>
      </c>
      <c r="S12" s="77">
        <f t="shared" si="2"/>
        <v>553.34641037686686</v>
      </c>
      <c r="T12" s="64">
        <f t="shared" si="9"/>
        <v>322.05264881771859</v>
      </c>
      <c r="W12" s="58"/>
    </row>
    <row r="13" spans="1:24">
      <c r="A13" s="17" t="s">
        <v>124</v>
      </c>
      <c r="B13" s="18">
        <v>0.43</v>
      </c>
      <c r="D13" s="17" t="s">
        <v>125</v>
      </c>
      <c r="E13" s="39">
        <f>(E10/E8)^(1/(2045-2018))-1</f>
        <v>2.0468385647820497E-4</v>
      </c>
      <c r="F13" s="26"/>
      <c r="H13" s="14">
        <f t="shared" si="3"/>
        <v>2027</v>
      </c>
      <c r="I13" s="79">
        <f t="shared" si="10"/>
        <v>18238.898987582281</v>
      </c>
      <c r="J13" s="50">
        <f t="shared" si="4"/>
        <v>189684.54947085571</v>
      </c>
      <c r="K13" s="50">
        <f>IF(H13=Year_Open_to_Traffic?,Calculations!$E$4,K12+(K12*M13))</f>
        <v>170716.09452377015</v>
      </c>
      <c r="L13" s="50">
        <f>IF(AND(H13&gt;=Year_Open_to_Traffic?, Calculations!H13&lt;Year_Open_to_Traffic?+'Inputs &amp; Outputs'!B$21), 1, 0)</f>
        <v>1</v>
      </c>
      <c r="M13" s="65">
        <f t="shared" si="11"/>
        <v>1.3278731019369605E-2</v>
      </c>
      <c r="N13" s="71">
        <f t="shared" si="12"/>
        <v>0.30484028325754692</v>
      </c>
      <c r="O13" s="72">
        <f t="shared" si="7"/>
        <v>1</v>
      </c>
      <c r="P13" s="68">
        <f t="shared" si="8"/>
        <v>18968.454947085556</v>
      </c>
      <c r="Q13" s="69">
        <f t="shared" si="0"/>
        <v>1</v>
      </c>
      <c r="R13" s="70">
        <f t="shared" si="1"/>
        <v>21.754790222980041</v>
      </c>
      <c r="S13" s="77">
        <f t="shared" si="2"/>
        <v>573.59011393677304</v>
      </c>
      <c r="T13" s="64">
        <f t="shared" si="9"/>
        <v>311.99501738289683</v>
      </c>
      <c r="W13" s="58"/>
    </row>
    <row r="14" spans="1:24">
      <c r="H14" s="49">
        <f>H13+1</f>
        <v>2028</v>
      </c>
      <c r="I14" s="79">
        <f t="shared" si="10"/>
        <v>18481.088421327837</v>
      </c>
      <c r="J14" s="50">
        <f t="shared" si="4"/>
        <v>192203.31958180951</v>
      </c>
      <c r="K14" s="50">
        <f>IF(H14=Year_Open_to_Traffic?,Calculations!$E$4,K13+(K13*M14))</f>
        <v>172982.98762362858</v>
      </c>
      <c r="L14" s="50">
        <f>IF(AND(H14&gt;=Year_Open_to_Traffic?, Calculations!H14&lt;Year_Open_to_Traffic?+'Inputs &amp; Outputs'!B$21), 1, 0)</f>
        <v>1</v>
      </c>
      <c r="M14" s="65">
        <f t="shared" si="11"/>
        <v>1.3278731019369605E-2</v>
      </c>
      <c r="N14" s="71">
        <f t="shared" si="12"/>
        <v>0.30888817538279234</v>
      </c>
      <c r="O14" s="72">
        <f t="shared" si="7"/>
        <v>1</v>
      </c>
      <c r="P14" s="68">
        <f t="shared" si="8"/>
        <v>19220.331958180934</v>
      </c>
      <c r="Q14" s="69">
        <f t="shared" si="0"/>
        <v>1</v>
      </c>
      <c r="R14" s="70">
        <f t="shared" si="1"/>
        <v>22.255150398108579</v>
      </c>
      <c r="S14" s="77">
        <f t="shared" si="2"/>
        <v>594.57441601893629</v>
      </c>
      <c r="T14" s="64">
        <f t="shared" si="9"/>
        <v>302.25148350463945</v>
      </c>
      <c r="W14" s="58"/>
    </row>
    <row r="15" spans="1:24">
      <c r="H15" s="14">
        <f t="shared" si="3"/>
        <v>2029</v>
      </c>
      <c r="I15" s="79">
        <f t="shared" si="10"/>
        <v>18726.493823419834</v>
      </c>
      <c r="J15" s="50">
        <f t="shared" si="4"/>
        <v>194755.53576356629</v>
      </c>
      <c r="K15" s="50">
        <f>IF(H15=Year_Open_to_Traffic?,Calculations!$E$4,K14+(K14*M15))</f>
        <v>175279.98218720968</v>
      </c>
      <c r="L15" s="50">
        <f>IF(AND(H15&gt;=Year_Open_to_Traffic?, Calculations!H15&lt;Year_Open_to_Traffic?+'Inputs &amp; Outputs'!B$21), 1, 0)</f>
        <v>1</v>
      </c>
      <c r="M15" s="65">
        <f t="shared" si="11"/>
        <v>1.3278731019369605E-2</v>
      </c>
      <c r="N15" s="71">
        <f t="shared" si="12"/>
        <v>0.31298981837876433</v>
      </c>
      <c r="O15" s="72">
        <f t="shared" si="7"/>
        <v>1</v>
      </c>
      <c r="P15" s="68">
        <f t="shared" si="8"/>
        <v>19475.553576356615</v>
      </c>
      <c r="Q15" s="69">
        <f t="shared" si="0"/>
        <v>1</v>
      </c>
      <c r="R15" s="70">
        <f t="shared" si="1"/>
        <v>22.767018857265079</v>
      </c>
      <c r="S15" s="77">
        <f t="shared" si="2"/>
        <v>616.32641078473637</v>
      </c>
      <c r="T15" s="64">
        <f t="shared" si="9"/>
        <v>292.81223798724483</v>
      </c>
      <c r="W15" s="58"/>
    </row>
    <row r="16" spans="1:24">
      <c r="H16" s="49">
        <f t="shared" si="3"/>
        <v>2030</v>
      </c>
      <c r="I16" s="79">
        <f t="shared" si="10"/>
        <v>18975.157897836914</v>
      </c>
      <c r="J16" s="50">
        <f t="shared" si="4"/>
        <v>197341.64213750392</v>
      </c>
      <c r="K16" s="50">
        <f>IF(H16=Year_Open_to_Traffic?,Calculations!$E$4,K15+(K15*M16))</f>
        <v>177607.47792375353</v>
      </c>
      <c r="L16" s="50">
        <f>IF(AND(H16&gt;=Year_Open_to_Traffic?, Calculations!H16&lt;Year_Open_to_Traffic?+'Inputs &amp; Outputs'!B$21), 1, 0)</f>
        <v>1</v>
      </c>
      <c r="M16" s="65">
        <f t="shared" si="11"/>
        <v>1.3278731019369605E-2</v>
      </c>
      <c r="N16" s="71">
        <f t="shared" si="12"/>
        <v>0.3171459259888173</v>
      </c>
      <c r="O16" s="72">
        <f t="shared" si="7"/>
        <v>1</v>
      </c>
      <c r="P16" s="68">
        <f t="shared" si="8"/>
        <v>19734.164213750395</v>
      </c>
      <c r="Q16" s="69">
        <f t="shared" si="0"/>
        <v>1</v>
      </c>
      <c r="R16" s="70">
        <f t="shared" si="1"/>
        <v>23.290660290982171</v>
      </c>
      <c r="S16" s="77">
        <f t="shared" si="2"/>
        <v>638.87418361219568</v>
      </c>
      <c r="T16" s="64">
        <f t="shared" si="9"/>
        <v>283.66777797397629</v>
      </c>
      <c r="W16" s="58"/>
    </row>
    <row r="17" spans="1:23">
      <c r="A17" s="27"/>
      <c r="H17" s="14">
        <f t="shared" si="3"/>
        <v>2031</v>
      </c>
      <c r="I17" s="79">
        <f t="shared" si="10"/>
        <v>19227.123915612359</v>
      </c>
      <c r="J17" s="50">
        <f t="shared" si="4"/>
        <v>199962.08872236853</v>
      </c>
      <c r="K17" s="50">
        <f>IF(H17=Year_Open_to_Traffic?,Calculations!$E$4,K16+(K16*M17))</f>
        <v>179965.87985013166</v>
      </c>
      <c r="L17" s="50">
        <f>IF(AND(H17&gt;=Year_Open_to_Traffic?, Calculations!H17&lt;Year_Open_to_Traffic?+'Inputs &amp; Outputs'!B$21), 1, 0)</f>
        <v>1</v>
      </c>
      <c r="M17" s="65">
        <f t="shared" si="11"/>
        <v>1.3278731019369605E-2</v>
      </c>
      <c r="N17" s="71">
        <f t="shared" si="12"/>
        <v>0.32135722143391171</v>
      </c>
      <c r="O17" s="72">
        <f t="shared" si="7"/>
        <v>1</v>
      </c>
      <c r="P17" s="68">
        <f t="shared" si="8"/>
        <v>19996.208872236864</v>
      </c>
      <c r="Q17" s="69">
        <f t="shared" si="0"/>
        <v>1</v>
      </c>
      <c r="R17" s="70">
        <f t="shared" si="1"/>
        <v>23.82634547767476</v>
      </c>
      <c r="S17" s="77">
        <f t="shared" si="2"/>
        <v>662.24684735878839</v>
      </c>
      <c r="T17" s="64">
        <f t="shared" si="9"/>
        <v>274.80889738016424</v>
      </c>
      <c r="W17" s="58"/>
    </row>
    <row r="18" spans="1:23">
      <c r="H18" s="49">
        <f t="shared" si="3"/>
        <v>2032</v>
      </c>
      <c r="I18" s="79">
        <f t="shared" si="10"/>
        <v>19482.435722363865</v>
      </c>
      <c r="J18" s="50">
        <f t="shared" si="4"/>
        <v>202617.33151258418</v>
      </c>
      <c r="K18" s="50">
        <f>IF(H18=Year_Open_to_Traffic?,Calculations!$E$4,K17+(K17*M18))</f>
        <v>182355.59836132574</v>
      </c>
      <c r="L18" s="50">
        <f>IF(AND(H18&gt;=Year_Open_to_Traffic?, Calculations!H18&lt;Year_Open_to_Traffic?+'Inputs &amp; Outputs'!B$21), 1, 0)</f>
        <v>1</v>
      </c>
      <c r="M18" s="65">
        <f t="shared" si="11"/>
        <v>1.3278731019369605E-2</v>
      </c>
      <c r="N18" s="71">
        <f t="shared" si="12"/>
        <v>0.3256244375384646</v>
      </c>
      <c r="O18" s="72">
        <f t="shared" si="7"/>
        <v>1</v>
      </c>
      <c r="P18" s="68">
        <f t="shared" si="8"/>
        <v>20261.733151258435</v>
      </c>
      <c r="Q18" s="69">
        <f t="shared" si="0"/>
        <v>1</v>
      </c>
      <c r="R18" s="70">
        <f t="shared" si="1"/>
        <v>24.374351423661277</v>
      </c>
      <c r="S18" s="77">
        <f t="shared" si="2"/>
        <v>686.47457995089712</v>
      </c>
      <c r="T18" s="64">
        <f t="shared" si="9"/>
        <v>266.22667762508394</v>
      </c>
      <c r="W18" s="58"/>
    </row>
    <row r="19" spans="1:23">
      <c r="H19" s="14">
        <f t="shared" si="3"/>
        <v>2033</v>
      </c>
      <c r="I19" s="79">
        <f t="shared" si="10"/>
        <v>19741.137745923294</v>
      </c>
      <c r="J19" s="50">
        <f t="shared" si="4"/>
        <v>205307.83255760223</v>
      </c>
      <c r="K19" s="50">
        <f>IF(H19=Year_Open_to_Traffic?,Calculations!$E$4,K18+(K18*M19))</f>
        <v>184777.04930184199</v>
      </c>
      <c r="L19" s="50">
        <f>IF(AND(H19&gt;=Year_Open_to_Traffic?, Calculations!H19&lt;Year_Open_to_Traffic?+'Inputs &amp; Outputs'!B$21), 1, 0)</f>
        <v>1</v>
      </c>
      <c r="M19" s="65">
        <f t="shared" si="11"/>
        <v>1.3278731019369605E-2</v>
      </c>
      <c r="N19" s="71">
        <f t="shared" si="12"/>
        <v>0.3299483168578714</v>
      </c>
      <c r="O19" s="72">
        <f t="shared" si="7"/>
        <v>1</v>
      </c>
      <c r="P19" s="68">
        <f t="shared" si="8"/>
        <v>20530.783255760238</v>
      </c>
      <c r="Q19" s="69">
        <f t="shared" si="0"/>
        <v>1</v>
      </c>
      <c r="R19" s="70">
        <f t="shared" si="1"/>
        <v>24.934961506405479</v>
      </c>
      <c r="S19" s="77">
        <f t="shared" si="2"/>
        <v>711.58866334844254</v>
      </c>
      <c r="T19" s="64">
        <f t="shared" si="9"/>
        <v>257.91247865327006</v>
      </c>
      <c r="W19" s="58"/>
    </row>
    <row r="20" spans="1:23">
      <c r="H20" s="49">
        <f t="shared" si="3"/>
        <v>2034</v>
      </c>
      <c r="I20" s="79">
        <f t="shared" si="10"/>
        <v>20003.275004067735</v>
      </c>
      <c r="J20" s="50">
        <f t="shared" si="4"/>
        <v>208034.06004230439</v>
      </c>
      <c r="K20" s="50">
        <f>IF(H20=Year_Open_to_Traffic?,Calculations!$E$4,K19+(K19*M20))</f>
        <v>187230.65403807396</v>
      </c>
      <c r="L20" s="50">
        <f>IF(AND(H20&gt;=Year_Open_to_Traffic?, Calculations!H20&lt;Year_Open_to_Traffic?+'Inputs &amp; Outputs'!B$21), 1, 0)</f>
        <v>1</v>
      </c>
      <c r="M20" s="65">
        <f t="shared" si="11"/>
        <v>1.3278731019369605E-2</v>
      </c>
      <c r="N20" s="71">
        <f t="shared" si="12"/>
        <v>0.33432961180772081</v>
      </c>
      <c r="O20" s="72">
        <f t="shared" si="7"/>
        <v>1</v>
      </c>
      <c r="P20" s="68">
        <f t="shared" si="8"/>
        <v>20803.406004230434</v>
      </c>
      <c r="Q20" s="69">
        <f t="shared" si="0"/>
        <v>1</v>
      </c>
      <c r="R20" s="70">
        <f t="shared" si="1"/>
        <v>25.508465621052807</v>
      </c>
      <c r="S20" s="77">
        <f t="shared" si="2"/>
        <v>737.62152393500446</v>
      </c>
      <c r="T20" s="64">
        <f t="shared" si="9"/>
        <v>249.85793023623734</v>
      </c>
      <c r="W20" s="58"/>
    </row>
    <row r="21" spans="1:23">
      <c r="H21" s="14">
        <f t="shared" si="3"/>
        <v>2035</v>
      </c>
      <c r="I21" s="79">
        <f t="shared" si="10"/>
        <v>20268.893112353231</v>
      </c>
      <c r="J21" s="50">
        <f t="shared" si="4"/>
        <v>210796.48836847354</v>
      </c>
      <c r="K21" s="50">
        <f>IF(H21=Year_Open_to_Traffic?,Calculations!$E$4,K20+(K20*M21))</f>
        <v>189716.8395316262</v>
      </c>
      <c r="L21" s="50">
        <f>IF(AND(H21&gt;=Year_Open_to_Traffic?, Calculations!H21&lt;Year_Open_to_Traffic?+'Inputs &amp; Outputs'!B$21), 1, 0)</f>
        <v>1</v>
      </c>
      <c r="M21" s="65">
        <f t="shared" si="11"/>
        <v>1.3278731019369605E-2</v>
      </c>
      <c r="N21" s="71">
        <f t="shared" si="12"/>
        <v>0.33876908479472578</v>
      </c>
      <c r="O21" s="72">
        <f t="shared" si="7"/>
        <v>1</v>
      </c>
      <c r="P21" s="68">
        <f t="shared" si="8"/>
        <v>21079.648836847336</v>
      </c>
      <c r="Q21" s="69">
        <f t="shared" si="0"/>
        <v>1</v>
      </c>
      <c r="R21" s="70">
        <f t="shared" si="1"/>
        <v>26.095160330337016</v>
      </c>
      <c r="S21" s="77">
        <f t="shared" si="2"/>
        <v>764.60677438557946</v>
      </c>
      <c r="T21" s="64">
        <f t="shared" si="9"/>
        <v>242.05492354584422</v>
      </c>
      <c r="W21" s="58"/>
    </row>
    <row r="22" spans="1:23">
      <c r="H22" s="49">
        <f>H21+1</f>
        <v>2036</v>
      </c>
      <c r="I22" s="79">
        <f t="shared" si="10"/>
        <v>20538.038292052523</v>
      </c>
      <c r="J22" s="50">
        <f t="shared" si="4"/>
        <v>213595.59823734616</v>
      </c>
      <c r="K22" s="50">
        <f>IF(H22=Year_Open_to_Traffic?,Calculations!$E$4,K21+(K21*M22))</f>
        <v>192236.03841361156</v>
      </c>
      <c r="L22" s="50">
        <f>IF(AND(H22&gt;=Year_Open_to_Traffic?, Calculations!H22&lt;Year_Open_to_Traffic?+'Inputs &amp; Outputs'!B$21), 1, 0)</f>
        <v>1</v>
      </c>
      <c r="M22" s="65">
        <f t="shared" si="11"/>
        <v>1.3278731019369605E-2</v>
      </c>
      <c r="N22" s="71">
        <f t="shared" si="12"/>
        <v>0.34326750834939296</v>
      </c>
      <c r="O22" s="72">
        <f t="shared" si="7"/>
        <v>1</v>
      </c>
      <c r="P22" s="68">
        <f t="shared" si="8"/>
        <v>21359.559823734598</v>
      </c>
      <c r="Q22" s="69">
        <f t="shared" si="0"/>
        <v>1</v>
      </c>
      <c r="R22" s="70">
        <f t="shared" si="1"/>
        <v>26.695349017934767</v>
      </c>
      <c r="S22" s="77">
        <f t="shared" si="2"/>
        <v>792.5792570660326</v>
      </c>
      <c r="T22" s="64">
        <f t="shared" si="9"/>
        <v>234.49560299081918</v>
      </c>
      <c r="W22" s="58"/>
    </row>
    <row r="23" spans="1:23">
      <c r="H23" s="14">
        <f t="shared" si="3"/>
        <v>2037</v>
      </c>
      <c r="I23" s="79">
        <f t="shared" si="10"/>
        <v>20810.757378198203</v>
      </c>
      <c r="J23" s="50">
        <f t="shared" si="4"/>
        <v>216431.87673326122</v>
      </c>
      <c r="K23" s="50">
        <f>IF(H23=Year_Open_to_Traffic?,Calculations!$E$4,K22+(K22*M23))</f>
        <v>194788.6890599351</v>
      </c>
      <c r="L23" s="50">
        <f>IF(AND(H23&gt;=Year_Open_to_Traffic?, Calculations!H23&lt;Year_Open_to_Traffic?+'Inputs &amp; Outputs'!B$21), 1, 0)</f>
        <v>1</v>
      </c>
      <c r="M23" s="65">
        <f t="shared" si="11"/>
        <v>1.3278731019369605E-2</v>
      </c>
      <c r="N23" s="71">
        <f t="shared" si="12"/>
        <v>0.34782566526045378</v>
      </c>
      <c r="O23" s="72">
        <f t="shared" si="7"/>
        <v>1</v>
      </c>
      <c r="P23" s="68">
        <f t="shared" si="8"/>
        <v>21643.187673326116</v>
      </c>
      <c r="Q23" s="69">
        <f t="shared" si="0"/>
        <v>1</v>
      </c>
      <c r="R23" s="70">
        <f t="shared" si="1"/>
        <v>27.309342045347261</v>
      </c>
      <c r="S23" s="77">
        <f t="shared" si="2"/>
        <v>821.57508902028405</v>
      </c>
      <c r="T23" s="64">
        <f t="shared" si="9"/>
        <v>227.1723583082308</v>
      </c>
      <c r="W23" s="58"/>
    </row>
    <row r="24" spans="1:23">
      <c r="H24" s="49">
        <f t="shared" si="3"/>
        <v>2038</v>
      </c>
      <c r="I24" s="79">
        <f t="shared" si="10"/>
        <v>21087.097827732658</v>
      </c>
      <c r="J24" s="50">
        <f t="shared" si="4"/>
        <v>219305.81740841956</v>
      </c>
      <c r="K24" s="50">
        <f>IF(H24=Year_Open_to_Traffic?,Calculations!$E$4,K23+(K23*M24))</f>
        <v>197375.2356675776</v>
      </c>
      <c r="L24" s="50">
        <f>IF(AND(H24&gt;=Year_Open_to_Traffic?, Calculations!H24&lt;Year_Open_to_Traffic?+'Inputs &amp; Outputs'!B$21), 1, 0)</f>
        <v>1</v>
      </c>
      <c r="M24" s="65">
        <f t="shared" si="11"/>
        <v>1.3278731019369605E-2</v>
      </c>
      <c r="N24" s="71">
        <f t="shared" si="12"/>
        <v>0.35244434871108066</v>
      </c>
      <c r="O24" s="72">
        <f t="shared" si="7"/>
        <v>1</v>
      </c>
      <c r="P24" s="68">
        <f>(J24-K24)*L24</f>
        <v>21930.581740841968</v>
      </c>
      <c r="Q24" s="69">
        <f t="shared" si="0"/>
        <v>1</v>
      </c>
      <c r="R24" s="70">
        <f t="shared" si="1"/>
        <v>27.93745691239025</v>
      </c>
      <c r="S24" s="77">
        <f t="shared" si="2"/>
        <v>851.63170860331036</v>
      </c>
      <c r="T24" s="64">
        <f t="shared" si="9"/>
        <v>220.07781690193866</v>
      </c>
      <c r="W24" s="58"/>
    </row>
    <row r="25" spans="1:23">
      <c r="H25" s="14">
        <f t="shared" si="3"/>
        <v>2039</v>
      </c>
      <c r="I25" s="79">
        <f t="shared" si="10"/>
        <v>21367.107727766252</v>
      </c>
      <c r="J25" s="50">
        <f t="shared" si="4"/>
        <v>222217.92036876894</v>
      </c>
      <c r="K25" s="50">
        <f>IF(H25=Year_Open_to_Traffic?,Calculations!$E$4,K24+(K24*M25))</f>
        <v>199996.12833189205</v>
      </c>
      <c r="L25" s="50">
        <f>IF(AND(H25&gt;=Year_Open_to_Traffic?, Calculations!H25&lt;Year_Open_to_Traffic?+'Inputs &amp; Outputs'!B$21), 1, 0)</f>
        <v>1</v>
      </c>
      <c r="M25" s="65">
        <f t="shared" si="11"/>
        <v>1.3278731019369605E-2</v>
      </c>
      <c r="N25" s="71">
        <f t="shared" si="12"/>
        <v>0.35712436241691198</v>
      </c>
      <c r="O25" s="72">
        <f t="shared" si="7"/>
        <v>1</v>
      </c>
      <c r="P25" s="68">
        <f t="shared" si="8"/>
        <v>22221.792036876897</v>
      </c>
      <c r="Q25" s="69">
        <f t="shared" si="0"/>
        <v>1</v>
      </c>
      <c r="R25" s="70">
        <f t="shared" si="1"/>
        <v>28.580018421375218</v>
      </c>
      <c r="S25" s="77">
        <f t="shared" si="2"/>
        <v>882.78792382017593</v>
      </c>
      <c r="T25" s="64">
        <f t="shared" si="9"/>
        <v>213.2048364203134</v>
      </c>
      <c r="W25" s="58"/>
    </row>
    <row r="26" spans="1:23">
      <c r="H26" s="49">
        <f t="shared" si="3"/>
        <v>2040</v>
      </c>
      <c r="I26" s="79">
        <f t="shared" si="10"/>
        <v>21650.835803945152</v>
      </c>
      <c r="J26" s="50">
        <f t="shared" si="4"/>
        <v>225168.69236102953</v>
      </c>
      <c r="K26" s="50">
        <f>IF(H26=Year_Open_to_Traffic?,Calculations!$E$4,K25+(K25*M26))</f>
        <v>202651.82312492657</v>
      </c>
      <c r="L26" s="50">
        <f>IF(AND(H26&gt;=Year_Open_to_Traffic?, Calculations!H26&lt;Year_Open_to_Traffic?+'Inputs &amp; Outputs'!B$21), 1, 0)</f>
        <v>1</v>
      </c>
      <c r="M26" s="65">
        <f t="shared" si="11"/>
        <v>1.3278731019369605E-2</v>
      </c>
      <c r="N26" s="71">
        <f t="shared" si="12"/>
        <v>0.36186652076591003</v>
      </c>
      <c r="O26" s="72">
        <f t="shared" si="7"/>
        <v>1</v>
      </c>
      <c r="P26" s="68">
        <f t="shared" si="8"/>
        <v>22516.869236102968</v>
      </c>
      <c r="Q26" s="69">
        <f t="shared" si="0"/>
        <v>1</v>
      </c>
      <c r="R26" s="70">
        <f t="shared" si="1"/>
        <v>29.237358845066851</v>
      </c>
      <c r="S26" s="77">
        <f t="shared" si="2"/>
        <v>915.08396243351035</v>
      </c>
      <c r="T26" s="64">
        <f t="shared" si="9"/>
        <v>206.5464975657537</v>
      </c>
      <c r="W26" s="58"/>
    </row>
    <row r="27" spans="1:23">
      <c r="H27" s="14">
        <f t="shared" si="3"/>
        <v>2041</v>
      </c>
      <c r="I27" s="79">
        <f t="shared" si="10"/>
        <v>21938.331428930276</v>
      </c>
      <c r="J27" s="50">
        <f t="shared" si="4"/>
        <v>228158.64686087484</v>
      </c>
      <c r="K27" s="50">
        <f>IF(H27=Year_Open_to_Traffic?,Calculations!$E$4,K26+(K26*M27))</f>
        <v>205342.78217478734</v>
      </c>
      <c r="L27" s="50">
        <f>IF(AND(H27&gt;=Year_Open_to_Traffic?, Calculations!H27&lt;Year_Open_to_Traffic?+'Inputs &amp; Outputs'!B$21), 1, 0)</f>
        <v>1</v>
      </c>
      <c r="M27" s="65">
        <f t="shared" si="11"/>
        <v>1.3278731019369605E-2</v>
      </c>
      <c r="N27" s="71">
        <f t="shared" si="12"/>
        <v>0.36667164896007565</v>
      </c>
      <c r="O27" s="72">
        <f t="shared" si="7"/>
        <v>1</v>
      </c>
      <c r="P27" s="68">
        <f t="shared" si="8"/>
        <v>22815.864686087501</v>
      </c>
      <c r="Q27" s="69">
        <f t="shared" si="0"/>
        <v>1</v>
      </c>
      <c r="R27" s="70">
        <f t="shared" si="1"/>
        <v>29.909818098503379</v>
      </c>
      <c r="S27" s="77">
        <f t="shared" si="2"/>
        <v>948.56152390411216</v>
      </c>
      <c r="T27" s="64">
        <f t="shared" si="9"/>
        <v>200.09609712875738</v>
      </c>
      <c r="W27" s="58"/>
    </row>
    <row r="28" spans="1:23">
      <c r="H28" s="49">
        <f t="shared" si="3"/>
        <v>2042</v>
      </c>
      <c r="I28" s="79">
        <f t="shared" si="10"/>
        <v>22229.644630988823</v>
      </c>
      <c r="J28" s="50">
        <f t="shared" si="4"/>
        <v>231188.30416228375</v>
      </c>
      <c r="K28" s="50">
        <f>IF(H28=Year_Open_to_Traffic?,Calculations!$E$4,K27+(K27*M28))</f>
        <v>208069.47374605533</v>
      </c>
      <c r="L28" s="50">
        <f>IF(AND(H28&gt;=Year_Open_to_Traffic?, Calculations!H28&lt;Year_Open_to_Traffic?+'Inputs &amp; Outputs'!B$21), 1, 0)</f>
        <v>1</v>
      </c>
      <c r="M28" s="65">
        <f t="shared" si="11"/>
        <v>1.3278731019369605E-2</v>
      </c>
      <c r="N28" s="71">
        <f t="shared" si="12"/>
        <v>0.3715405831590452</v>
      </c>
      <c r="O28" s="72">
        <f t="shared" si="7"/>
        <v>1</v>
      </c>
      <c r="P28" s="68">
        <f t="shared" si="8"/>
        <v>23118.830416228418</v>
      </c>
      <c r="Q28" s="69">
        <f t="shared" si="0"/>
        <v>1</v>
      </c>
      <c r="R28" s="70">
        <f t="shared" si="1"/>
        <v>30.597743914768959</v>
      </c>
      <c r="S28" s="77">
        <f t="shared" si="2"/>
        <v>983.26383323177276</v>
      </c>
      <c r="T28" s="64">
        <f t="shared" si="9"/>
        <v>193.847141239541</v>
      </c>
      <c r="W28" s="58"/>
    </row>
    <row r="29" spans="1:23">
      <c r="H29" s="14">
        <f t="shared" si="3"/>
        <v>2043</v>
      </c>
      <c r="I29" s="79">
        <f t="shared" si="10"/>
        <v>22524.826102699899</v>
      </c>
      <c r="J29" s="50">
        <f t="shared" si="4"/>
        <v>234258.19146807893</v>
      </c>
      <c r="K29" s="50">
        <f>IF(H29=Year_Open_to_Traffic?,Calculations!$E$4,K28+(K28*M29))</f>
        <v>210832.37232127099</v>
      </c>
      <c r="L29" s="50">
        <f>IF(AND(H29&gt;=Year_Open_to_Traffic?, Calculations!H29&lt;Year_Open_to_Traffic?+'Inputs &amp; Outputs'!B$21), 1, 0)</f>
        <v>1</v>
      </c>
      <c r="M29" s="65">
        <f t="shared" si="11"/>
        <v>1.3278731019369605E-2</v>
      </c>
      <c r="N29" s="71">
        <f t="shared" si="12"/>
        <v>0.37647417062559391</v>
      </c>
      <c r="O29" s="72">
        <f t="shared" si="7"/>
        <v>1</v>
      </c>
      <c r="P29" s="68">
        <f t="shared" si="8"/>
        <v>23425.819146807946</v>
      </c>
      <c r="Q29" s="69">
        <f t="shared" si="0"/>
        <v>1</v>
      </c>
      <c r="R29" s="70">
        <f t="shared" si="1"/>
        <v>31.301492024808638</v>
      </c>
      <c r="S29" s="77">
        <f t="shared" si="2"/>
        <v>1019.2356967658015</v>
      </c>
      <c r="T29" s="64">
        <f t="shared" si="9"/>
        <v>187.7933388304057</v>
      </c>
      <c r="W29" s="58"/>
    </row>
    <row r="30" spans="1:23">
      <c r="H30" s="14">
        <f t="shared" si="3"/>
        <v>2044</v>
      </c>
      <c r="I30" s="79">
        <f t="shared" si="10"/>
        <v>22823.927209775728</v>
      </c>
      <c r="J30" s="50">
        <f t="shared" si="4"/>
        <v>237368.84298166755</v>
      </c>
      <c r="K30" s="50">
        <f>IF(H30=Year_Open_to_Traffic?,Calculations!$E$4,K29+(K29*M30))</f>
        <v>213631.95868350074</v>
      </c>
      <c r="L30" s="50">
        <f>IF(AND(H30&gt;=Year_Open_to_Traffic?, Calculations!H30&lt;Year_Open_to_Traffic?+'Inputs &amp; Outputs'!B$21), 1, 0)</f>
        <v>1</v>
      </c>
      <c r="M30" s="65">
        <f t="shared" si="11"/>
        <v>1.3278731019369605E-2</v>
      </c>
      <c r="N30" s="71">
        <f t="shared" si="12"/>
        <v>0.38147326987307145</v>
      </c>
      <c r="O30" s="72">
        <f t="shared" si="7"/>
        <v>1</v>
      </c>
      <c r="P30" s="68">
        <f t="shared" si="8"/>
        <v>23736.884298166813</v>
      </c>
      <c r="Q30" s="69">
        <f t="shared" si="0"/>
        <v>1</v>
      </c>
      <c r="R30" s="70">
        <f t="shared" si="1"/>
        <v>32.021426341379232</v>
      </c>
      <c r="S30" s="77">
        <f t="shared" si="2"/>
        <v>1056.5235600573496</v>
      </c>
      <c r="T30" s="64">
        <f t="shared" si="9"/>
        <v>181.92859530227588</v>
      </c>
      <c r="W30" s="58"/>
    </row>
    <row r="31" spans="1:23">
      <c r="H31" s="14">
        <f t="shared" si="3"/>
        <v>2045</v>
      </c>
      <c r="I31" s="79">
        <f t="shared" si="10"/>
        <v>23127.000000000011</v>
      </c>
      <c r="J31" s="50">
        <f t="shared" si="4"/>
        <v>240520.8000000001</v>
      </c>
      <c r="K31" s="50">
        <f>IF(H31=Year_Open_to_Traffic?,Calculations!$E$4,K30+(K30*M31))</f>
        <v>216468.72000000003</v>
      </c>
      <c r="L31" s="50">
        <f>IF(AND(H31&gt;=Year_Open_to_Traffic?, Calculations!H31&lt;Year_Open_to_Traffic?+'Inputs &amp; Outputs'!B$21), 1, 0)</f>
        <v>1</v>
      </c>
      <c r="M31" s="65">
        <f t="shared" si="11"/>
        <v>1.3278731019369605E-2</v>
      </c>
      <c r="N31" s="71">
        <f t="shared" si="12"/>
        <v>0.38653875081479538</v>
      </c>
      <c r="O31" s="72">
        <f t="shared" si="7"/>
        <v>1</v>
      </c>
      <c r="P31" s="68">
        <f t="shared" si="8"/>
        <v>24052.080000000075</v>
      </c>
      <c r="Q31" s="69">
        <f t="shared" si="0"/>
        <v>1</v>
      </c>
      <c r="R31" s="70">
        <f t="shared" si="1"/>
        <v>32.757919147230957</v>
      </c>
      <c r="S31" s="77">
        <f t="shared" si="2"/>
        <v>1095.1755678281991</v>
      </c>
      <c r="T31" s="64">
        <f t="shared" si="9"/>
        <v>176.24700638902729</v>
      </c>
      <c r="W31" s="58"/>
    </row>
    <row r="32" spans="1:23">
      <c r="H32" s="14">
        <f t="shared" si="3"/>
        <v>2046</v>
      </c>
      <c r="I32" s="79">
        <f t="shared" si="10"/>
        <v>23434.097212284971</v>
      </c>
      <c r="J32" s="50">
        <f t="shared" si="4"/>
        <v>243714.61100776371</v>
      </c>
      <c r="K32" s="50">
        <f>IF(H32=Year_Open_to_Traffic?,Calculations!$E$4,K31+(K31*M32))</f>
        <v>219343.14990698727</v>
      </c>
      <c r="L32" s="50">
        <f>IF(AND(H32&gt;=Year_Open_to_Traffic?, Calculations!H32&lt;Year_Open_to_Traffic?+'Inputs &amp; Outputs'!B$21), 1, 0)</f>
        <v>1</v>
      </c>
      <c r="M32" s="65">
        <f t="shared" si="11"/>
        <v>1.3278731019369605E-2</v>
      </c>
      <c r="N32" s="71">
        <f t="shared" si="12"/>
        <v>0.39167149491542819</v>
      </c>
      <c r="O32" s="72">
        <f t="shared" si="7"/>
        <v>1</v>
      </c>
      <c r="P32" s="68">
        <f t="shared" si="8"/>
        <v>24371.461100776447</v>
      </c>
      <c r="Q32" s="69">
        <f t="shared" si="0"/>
        <v>1</v>
      </c>
      <c r="R32" s="70">
        <f t="shared" si="1"/>
        <v>33.511351287617266</v>
      </c>
      <c r="S32" s="77">
        <f t="shared" si="2"/>
        <v>1135.2416261334604</v>
      </c>
      <c r="T32" s="64">
        <f t="shared" si="9"/>
        <v>170.74285221343243</v>
      </c>
      <c r="W32" s="58"/>
    </row>
    <row r="33" spans="8:23">
      <c r="H33" s="14">
        <f t="shared" si="3"/>
        <v>2047</v>
      </c>
      <c r="I33" s="79">
        <f t="shared" si="10"/>
        <v>23745.272285848663</v>
      </c>
      <c r="J33" s="50">
        <f t="shared" si="4"/>
        <v>246950.83177282609</v>
      </c>
      <c r="K33" s="50">
        <f>IF(H33=Year_Open_to_Traffic?,Calculations!$E$4,K32+(K32*M33))</f>
        <v>222255.74859554341</v>
      </c>
      <c r="L33" s="50">
        <f>IF(AND(H33&gt;=Year_Open_to_Traffic?, Calculations!H33&lt;Year_Open_to_Traffic?+'Inputs &amp; Outputs'!B$21), 1, 0)</f>
        <v>1</v>
      </c>
      <c r="M33" s="65">
        <f t="shared" si="11"/>
        <v>1.3278731019369605E-2</v>
      </c>
      <c r="N33" s="71">
        <f t="shared" si="12"/>
        <v>0.39687239534436453</v>
      </c>
      <c r="O33" s="72">
        <f t="shared" si="7"/>
        <v>1</v>
      </c>
      <c r="P33" s="68">
        <f t="shared" si="8"/>
        <v>24695.083177282679</v>
      </c>
      <c r="Q33" s="69">
        <f t="shared" si="0"/>
        <v>1</v>
      </c>
      <c r="R33" s="70">
        <f t="shared" si="1"/>
        <v>34.282112367232457</v>
      </c>
      <c r="S33" s="77">
        <f t="shared" si="2"/>
        <v>1176.7734667984416</v>
      </c>
      <c r="T33" s="64">
        <f t="shared" si="9"/>
        <v>165.41059152873632</v>
      </c>
      <c r="W33" s="58"/>
    </row>
    <row r="34" spans="8:23">
      <c r="H34" s="14">
        <f t="shared" si="3"/>
        <v>2048</v>
      </c>
      <c r="I34" s="79">
        <f t="shared" si="10"/>
        <v>24060.57936951414</v>
      </c>
      <c r="J34" s="50">
        <f t="shared" si="4"/>
        <v>250230.02544294705</v>
      </c>
      <c r="K34" s="50">
        <f>IF(H34=Year_Open_to_Traffic?,Calculations!$E$4,K33+(K33*M34))</f>
        <v>225207.02289865227</v>
      </c>
      <c r="L34" s="50">
        <f>IF(AND(H34&gt;=Year_Open_to_Traffic?, Calculations!H34&lt;Year_Open_to_Traffic?+'Inputs &amp; Outputs'!B$21), 1, 0)</f>
        <v>1</v>
      </c>
      <c r="M34" s="65">
        <f t="shared" si="11"/>
        <v>1.3278731019369605E-2</v>
      </c>
      <c r="N34" s="71">
        <f t="shared" si="12"/>
        <v>0.40214235713115526</v>
      </c>
      <c r="O34" s="72">
        <f t="shared" si="7"/>
        <v>1</v>
      </c>
      <c r="P34" s="68">
        <f t="shared" si="8"/>
        <v>25023.002544294781</v>
      </c>
      <c r="Q34" s="69">
        <f t="shared" si="0"/>
        <v>1</v>
      </c>
      <c r="R34" s="70">
        <f t="shared" si="1"/>
        <v>35.070600951678806</v>
      </c>
      <c r="S34" s="77">
        <f t="shared" si="2"/>
        <v>1219.8247142128898</v>
      </c>
      <c r="T34" s="64">
        <f t="shared" si="9"/>
        <v>160.24485614006872</v>
      </c>
      <c r="W34" s="58"/>
    </row>
    <row r="35" spans="8:23">
      <c r="H35" s="14">
        <f t="shared" si="3"/>
        <v>2049</v>
      </c>
      <c r="I35" s="79">
        <f t="shared" si="10"/>
        <v>24380.073331132113</v>
      </c>
      <c r="J35" s="50">
        <f t="shared" si="4"/>
        <v>253552.76264377395</v>
      </c>
      <c r="K35" s="50">
        <f>IF(H35=Year_Open_to_Traffic?,Calculations!$E$4,K34+(K34*M35))</f>
        <v>228197.48637939649</v>
      </c>
      <c r="L35" s="50">
        <f>IF(AND(H35&gt;=Year_Open_to_Traffic?, Calculations!H35&lt;Year_Open_to_Traffic?+'Inputs &amp; Outputs'!B$21), 1, 0)</f>
        <v>1</v>
      </c>
      <c r="M35" s="65">
        <f t="shared" si="11"/>
        <v>1.3278731019369605E-2</v>
      </c>
      <c r="N35" s="71">
        <f t="shared" si="12"/>
        <v>0.40748229732299512</v>
      </c>
      <c r="O35" s="72">
        <f t="shared" si="7"/>
        <v>1</v>
      </c>
      <c r="P35" s="68">
        <f t="shared" si="8"/>
        <v>25355.276264377462</v>
      </c>
      <c r="Q35" s="69">
        <f t="shared" si="0"/>
        <v>1</v>
      </c>
      <c r="R35" s="70">
        <f t="shared" si="1"/>
        <v>35.877224773567399</v>
      </c>
      <c r="S35" s="77">
        <f t="shared" si="2"/>
        <v>1264.4509545688261</v>
      </c>
      <c r="T35" s="64">
        <f t="shared" si="9"/>
        <v>155.2404455000709</v>
      </c>
      <c r="W35" s="58"/>
    </row>
    <row r="36" spans="8:23">
      <c r="H36" s="14">
        <f t="shared" si="3"/>
        <v>2050</v>
      </c>
      <c r="I36" s="79">
        <f t="shared" si="10"/>
        <v>24703.809767128721</v>
      </c>
      <c r="J36" s="50">
        <f t="shared" si="4"/>
        <v>256919.6215781387</v>
      </c>
      <c r="K36" s="50">
        <f>IF(H36=Year_Open_to_Traffic?,Calculations!$E$4,K35+(K35*M36))</f>
        <v>231227.65942032475</v>
      </c>
      <c r="L36" s="50">
        <f>IF(AND(H36&gt;=Year_Open_to_Traffic?, Calculations!H36&lt;Year_Open_to_Traffic?+'Inputs &amp; Outputs'!B$21), 1, 0)</f>
        <v>1</v>
      </c>
      <c r="M36" s="65">
        <f t="shared" si="11"/>
        <v>1.3278731019369605E-2</v>
      </c>
      <c r="N36" s="71">
        <f t="shared" si="12"/>
        <v>0.41289314514430198</v>
      </c>
      <c r="O36" s="72">
        <f t="shared" si="7"/>
        <v>1</v>
      </c>
      <c r="P36" s="68">
        <f t="shared" si="8"/>
        <v>25691.962157813949</v>
      </c>
      <c r="Q36" s="69">
        <f t="shared" si="0"/>
        <v>1</v>
      </c>
      <c r="R36" s="70">
        <f t="shared" si="1"/>
        <v>36.702400943359457</v>
      </c>
      <c r="S36" s="77">
        <f t="shared" si="2"/>
        <v>1310.7098076314116</v>
      </c>
      <c r="T36" s="64">
        <f t="shared" si="9"/>
        <v>150.39232147330378</v>
      </c>
      <c r="W36" s="58"/>
    </row>
    <row r="37" spans="8:23">
      <c r="H37" s="44"/>
      <c r="I37" s="44"/>
      <c r="J37" s="44"/>
      <c r="K37" s="44"/>
      <c r="L37" s="44"/>
      <c r="M37" s="60"/>
      <c r="N37" s="61"/>
      <c r="O37" s="44"/>
      <c r="P37" s="44"/>
      <c r="Q37" s="44"/>
      <c r="R37" s="44"/>
      <c r="S37" s="59"/>
      <c r="T37" s="64">
        <f>SUM(T4:T36)</f>
        <v>7091.9207980948231</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159</v>
      </c>
      <c r="N6" s="44" t="s">
        <v>124</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73</v>
      </c>
      <c r="C9" s="81">
        <v>0.2</v>
      </c>
      <c r="D9" s="74">
        <v>0.02</v>
      </c>
      <c r="E9" s="74">
        <v>0.02</v>
      </c>
      <c r="F9" s="74">
        <v>0.2</v>
      </c>
      <c r="G9" s="91">
        <v>0.15</v>
      </c>
      <c r="H9" s="93"/>
      <c r="L9" s="44" t="s">
        <v>52</v>
      </c>
    </row>
    <row r="10" spans="2:14">
      <c r="B10" s="73" t="s">
        <v>164</v>
      </c>
      <c r="C10" s="81">
        <v>0.3</v>
      </c>
      <c r="D10" s="74">
        <v>0.1</v>
      </c>
      <c r="E10" s="74">
        <v>0.1</v>
      </c>
      <c r="F10" s="74">
        <v>0.3</v>
      </c>
      <c r="G10" s="91">
        <v>0.22</v>
      </c>
      <c r="H10" s="93"/>
      <c r="L10" s="44" t="s">
        <v>165</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1CAB85-CDBE-4CCB-AB1D-94F4552C5811}"/>
</file>

<file path=customXml/itemProps2.xml><?xml version="1.0" encoding="utf-8"?>
<ds:datastoreItem xmlns:ds="http://schemas.openxmlformats.org/officeDocument/2006/customXml" ds:itemID="{24AB3815-53FF-4A7F-B65C-88CF72614FE3}"/>
</file>

<file path=customXml/itemProps3.xml><?xml version="1.0" encoding="utf-8"?>
<ds:datastoreItem xmlns:ds="http://schemas.openxmlformats.org/officeDocument/2006/customXml" ds:itemID="{D9EB733A-C8C9-452D-9635-F1E9150BCFF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2018-10-31T00:42:38Z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