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4562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<sst xmlns="http://schemas.openxmlformats.org/spreadsheetml/2006/main" count="440" uniqueCount="285">
  <si>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</si>
  <si>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</si>
  <si>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</si>
  <si>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</si>
  <si>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</si>
  <si>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</si>
  <si>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</si>
  <si>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</si>
  <si>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</si>
  <si>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</si>
  <si>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</si>
  <si>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</si>
  <si>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</si>
  <si>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</si>
  <si>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</si>
  <si>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</si>
  <si>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</si>
  <si>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</si>
  <si>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</si>
  <si>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</si>
  <si>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</si>
  <si>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</si>
  <si>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</si>
  <si>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</si>
  <si>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</si>
  <si>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</si>
  <si>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</si>
  <si>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</si>
  <si>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</si>
  <si>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</si>
  <si>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</si>
  <si>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</si>
  <si>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</si>
  <si>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</si>
  <si>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</si>
  <si>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</si>
  <si>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</si>
  <si>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</si>
  <si>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</si>
  <si>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</si>
  <si>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</si>
  <si>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</si>
  <si>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</si>
  <si>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</si>
  <si>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</si>
  <si>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</si>
  <si>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</si>
  <si>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</si>
  <si>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</si>
  <si>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</si>
  <si>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</si>
  <si>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</si>
  <si>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</si>
  <si>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</si>
  <si>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</si>
  <si>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</si>
  <si>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</si>
  <si>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</si>
  <si>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</si>
  <si>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</si>
  <si>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</si>
  <si>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</si>
  <si>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</si>
  <si>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</si>
  <si>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</si>
  <si>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</si>
  <si>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</si>
  <si>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</si>
  <si>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</si>
  <si>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</si>
  <si>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</si>
  <si>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</si>
  <si>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</si>
  <si>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</si>
  <si>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</si>
  <si>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</si>
  <si>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</si>
  <si>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</si>
  <si>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</si>
  <si>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</si>
  <si>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</si>
  <si>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</si>
  <si>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</si>
  <si>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</si>
  <si>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</si>
  <si>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</si>
  <si>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</si>
  <si>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</si>
  <si>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</si>
  <si>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</si>
  <si>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</si>
  <si>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</si>
  <si>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</si>
  <si>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</si>
  <si>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</si>
  <si>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</si>
  <si>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</si>
  <si>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</si>
  <si>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</si>
  <si>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</si>
  <si>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</si>
  <si>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</si>
  <si>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</si>
  <si>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</si>
  <si>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</si>
  <si>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</si>
  <si>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</si>
  <si>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</si>
  <si>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</si>
  <si>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</si>
  <si>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</si>
  <si>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</si>
  <si>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</si>
  <si>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</si>
  <si>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</si>
  <si>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</si>
  <si>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</si>
  <si>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</si>
  <si>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</si>
  <si>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</si>
  <si>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</si>
  <si>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</si>
  <si>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</si>
  <si>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</si>
  <si>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</si>
  <si>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</si>
  <si>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</si>
  <si>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</si>
  <si>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</si>
  <si>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</si>
  <si>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</si>
  <si>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</si>
  <si>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</si>
  <si>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</si>
  <si>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</si>
  <si>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</si>
  <si>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</si>
  <si>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</si>
  <si>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</si>
  <si>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</si>
  <si>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</si>
  <si>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</si>
  <si>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</si>
  <si>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</si>
  <si>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</si>
  <si>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</si>
  <si>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</si>
  <si>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</si>
  <si>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</si>
  <si>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</si>
  <si>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</si>
  <si>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</si>
  <si>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</si>
  <si>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</si>
  <si>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</si>
  <si>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</si>
  <si>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</si>
  <si>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</si>
  <si>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</si>
  <si>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</si>
  <si>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</si>
  <si>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</si>
  <si>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</si>
  <si>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</si>
  <si>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</si>
  <si>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</si>
  <si>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</si>
  <si>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</si>
  <si>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</si>
  <si>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</si>
  <si>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</si>
  <si>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</si>
  <si>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</si>
  <si>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</si>
  <si>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</si>
  <si>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</si>
  <si>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</si>
  <si>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</si>
  <si>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</si>
  <si>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</si>
  <si>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</si>
  <si>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</si>
  <si>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</si>
  <si>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</si>
  <si>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</si>
  <si>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</si>
  <si>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</si>
  <si>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</si>
  <si>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</si>
  <si>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</si>
  <si>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</si>
  <si>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</si>
  <si>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</si>
  <si>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</si>
  <si>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</si>
  <si>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</si>
  <si>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</si>
  <si>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</si>
  <si>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</si>
  <si>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</si>
  <si>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</si>
  <si>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</si>
  <si>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</si>
  <si>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</si>
  <si>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</si>
  <si>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</si>
  <si>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</si>
  <si>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</si>
  <si>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</si>
  <si>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</si>
  <si>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</si>
  <si>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</si>
  <si>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</si>
  <si>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</si>
  <si>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</si>
  <si>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</si>
  <si>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</si>
  <si>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</si>
  <si>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</si>
  <si>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</si>
  <si>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</si>
  <si>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</si>
  <si>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</si>
  <si>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</si>
  <si>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</si>
  <si>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</si>
  <si>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</si>
  <si>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</si>
  <si>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</si>
  <si>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</si>
  <si>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</si>
  <si>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</si>
  <si>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</si>
  <si>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</si>
  <si>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</si>
  <si>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</si>
  <si>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</si>
  <si>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</si>
  <si>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</si>
  <si>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</si>
  <si>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</si>
  <si>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</si>
  <si>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</si>
  <si>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</si>
  <si>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</si>
  <si>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</si>
  <si>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</si>
  <si>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</si>
  <si>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</si>
  <si>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</si>
  <si>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</si>
  <si>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</si>
  <si>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</si>
  <si>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</si>
  <si>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</si>
  <si>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</si>
  <si>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</si>
  <si>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</si>
  <si>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</si>
  <si>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</si>
  <si>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</si>
  <si>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</si>
  <si>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</si>
  <si>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</si>
  <si>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</si>
  <si>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</si>
  <si>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</si>
  <si>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</si>
  <si>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</si>
  <si>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</si>
  <si>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</si>
  <si>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</si>
  <si>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</si>
  <si>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</si>
  <si>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</si>
  <si>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</si>
  <si>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</si>
  <si>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</si>
  <si>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</si>
  <si>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</si>
  <si>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</si>
  <si>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Texas/Market/Lee/Decker Intersection Improvements</t>
  </si>
  <si>
    <t>Market Streer / Decker Drive</t>
  </si>
  <si>
    <t>Lee Drive</t>
  </si>
  <si>
    <t>Sterling Avenue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</si>
</sst>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C13" sqref="C13"/>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1.08</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2021</v>
      </c>
      <c r="D17" s="96"/>
    </row>
    <row r="18" spans="2:13" x14ac:dyDescent="0.25">
      <c r="B18" s="4" t="s">
        <v>259</v>
      </c>
      <c r="C18" s="120" t="s">
        <v>195</v>
      </c>
      <c r="D18" s="26"/>
    </row>
    <row r="19" spans="2:13" x14ac:dyDescent="0.25">
      <c r="B19" s="122" t="s">
        <v>251</v>
      </c>
      <c r="C19" s="174">
        <f>VLOOKUP(C18,'CRF Lookup Table'!C3:F84,2, FALSE)</f>
        <v>108</v>
      </c>
      <c r="D19" s="97"/>
    </row>
    <row r="20" spans="2:13" x14ac:dyDescent="0.25">
      <c r="B20" s="122" t="s">
        <v>102</v>
      </c>
      <c r="C20" s="175">
        <f>VLOOKUP(C18,'CRF Lookup Table'!C3:F84,3, FALSE)</f>
        <v>0.22</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11901</v>
      </c>
      <c r="D25" s="99"/>
      <c r="I25" s="49"/>
    </row>
    <row r="26" spans="2:13" x14ac:dyDescent="0.25">
      <c r="I26" s="49"/>
    </row>
    <row r="27" spans="2:13" x14ac:dyDescent="0.25">
      <c r="B27" s="86" t="s">
        <v>269</v>
      </c>
      <c r="C27" s="87">
        <v>2118</v>
      </c>
      <c r="D27" s="99"/>
      <c r="I27" s="49"/>
    </row>
    <row r="28" spans="2:13" x14ac:dyDescent="0.25">
      <c r="B28" s="86" t="s">
        <v>150</v>
      </c>
      <c r="C28" s="87">
        <v>2483</v>
      </c>
      <c r="D28" s="99"/>
      <c r="I28" s="49"/>
    </row>
    <row r="29" spans="2:13" x14ac:dyDescent="0.25">
      <c r="B29" s="86" t="s">
        <v>270</v>
      </c>
      <c r="C29" s="88">
        <v>2243</v>
      </c>
      <c r="D29" s="69"/>
      <c r="I29" s="49"/>
    </row>
    <row r="30" spans="2:13" x14ac:dyDescent="0.25">
      <c r="B30" s="86" t="s">
        <v>151</v>
      </c>
      <c r="C30" s="88">
        <v>2483</v>
      </c>
      <c r="D30" s="69"/>
      <c r="I30" s="49"/>
    </row>
    <row r="31" spans="2:13" x14ac:dyDescent="0.25">
      <c r="B31" s="86" t="s">
        <v>271</v>
      </c>
      <c r="C31" s="87">
        <v>2242</v>
      </c>
      <c r="D31" s="99"/>
      <c r="H31" s="70"/>
    </row>
    <row r="32" spans="2:13" x14ac:dyDescent="0.25">
      <c r="B32" s="86" t="s">
        <v>152</v>
      </c>
      <c r="C32" s="87">
        <v>2483</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2520.3935569529212</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12197.092170378197</v>
      </c>
      <c r="G4" s="183" t="s">
        <v>260</v>
      </c>
      <c r="H4" s="183"/>
      <c r="I4" s="183"/>
      <c r="J4" s="183"/>
      <c r="L4" s="136"/>
      <c r="M4" s="137">
        <v>2018</v>
      </c>
      <c r="N4" s="138">
        <f>_2018_Volume_ADT</f>
        <v>11901</v>
      </c>
      <c r="O4" s="139" t="s">
        <v>85</v>
      </c>
      <c r="P4" s="140">
        <f>MIN(B12,1)</f>
        <v>0.85300040273862265</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13172.859544008454</v>
      </c>
      <c r="G5" s="184" t="s">
        <v>261</v>
      </c>
      <c r="H5" s="184"/>
      <c r="I5" s="184"/>
      <c r="J5" s="143">
        <f>SUMPRODUCT(Possible_Crash_Reductions,'Value of Statistical Life'!E5:E11)</f>
        <v>401661.0430571168</v>
      </c>
      <c r="L5" s="136"/>
      <c r="M5" s="144">
        <f t="shared" ref="M5:M36" si="1">M4+1</f>
        <v>2019</v>
      </c>
      <c r="N5" s="145">
        <f>N4+(N4*O5)</f>
        <v>11998.890002046146</v>
      </c>
      <c r="O5" s="146">
        <f t="shared" ref="O5:O11" si="2">IF(ISERROR(_2025_2045_Demand_Growth),_2018_2045_Demand_Growth,_2018_2025_Demand_Growth)</f>
        <v>8.2253593854419993E-3</v>
      </c>
      <c r="P5" s="147">
        <f t="shared" ref="P5:P11" si="3">P4*(1+IFERROR(_2018_2025_V_C_Growth,_2018_2045_V_C_Growth))</f>
        <v>0.86001663760707459</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3424943.4814421982</v>
      </c>
      <c r="L6" s="136"/>
      <c r="M6" s="137">
        <f t="shared" si="1"/>
        <v>2020</v>
      </c>
      <c r="N6" s="145">
        <f t="shared" ref="N6:N36" si="6">N5+(N5*O6)</f>
        <v>12097.585184539363</v>
      </c>
      <c r="O6" s="146">
        <f t="shared" si="2"/>
        <v>8.2253593854419993E-3</v>
      </c>
      <c r="P6" s="147">
        <f t="shared" si="3"/>
        <v>0.86709058352885215</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12197.092170378197</v>
      </c>
      <c r="O7" s="146">
        <f t="shared" si="2"/>
        <v>8.2253593854419993E-3</v>
      </c>
      <c r="P7" s="147">
        <f t="shared" si="3"/>
        <v>0.87422271519810957</v>
      </c>
      <c r="Q7" s="148">
        <f t="shared" si="4"/>
        <v>1</v>
      </c>
      <c r="R7" s="37">
        <f>IF(M7=Year_Open_to_Traffic?,Calculations!$J$5,Calculations!R6+(Calculations!R6*Calculations!O7*Q7))</f>
        <v>401661.0430571168</v>
      </c>
      <c r="S7" s="54">
        <f t="shared" si="0"/>
        <v>1</v>
      </c>
      <c r="T7" s="37">
        <f t="shared" si="5"/>
        <v>401.66104305711679</v>
      </c>
      <c r="U7" s="142">
        <f>T7/(1+Real_Discount_Rate)^(Calculations!M7-'Assumed Values'!$C$5)</f>
        <v>327.87505667728948</v>
      </c>
    </row>
    <row r="8" spans="1:21" ht="15.75" x14ac:dyDescent="0.25">
      <c r="A8" s="149" t="s">
        <v>15</v>
      </c>
      <c r="B8" s="125"/>
      <c r="D8" s="150" t="s">
        <v>143</v>
      </c>
      <c r="E8" s="151"/>
      <c r="L8" s="136"/>
      <c r="M8" s="137">
        <f t="shared" si="1"/>
        <v>2022</v>
      </c>
      <c r="N8" s="145">
        <f t="shared" si="6"/>
        <v>12297.417636936918</v>
      </c>
      <c r="O8" s="146">
        <f t="shared" si="2"/>
        <v>8.2253593854419993E-3</v>
      </c>
      <c r="P8" s="147">
        <f t="shared" si="3"/>
        <v>0.88141351121353095</v>
      </c>
      <c r="Q8" s="148">
        <f t="shared" si="4"/>
        <v>1</v>
      </c>
      <c r="R8" s="37">
        <f>IF(M8=Year_Open_to_Traffic?,Calculations!$J$5,Calculations!R7+(Calculations!R7*Calculations!O8*Q8))</f>
        <v>404964.84948739305</v>
      </c>
      <c r="S8" s="54">
        <f t="shared" si="0"/>
        <v>1</v>
      </c>
      <c r="T8" s="37">
        <f t="shared" si="5"/>
        <v>404.96484948739305</v>
      </c>
      <c r="U8" s="142">
        <f>T8/(1+Real_Discount_Rate)^(Calculations!M8-'Assumed Values'!$C$5)</f>
        <v>308.94574472147883</v>
      </c>
    </row>
    <row r="9" spans="1:21" ht="15.75" x14ac:dyDescent="0.25">
      <c r="A9" s="152" t="s">
        <v>76</v>
      </c>
      <c r="B9" s="153">
        <f>(_2025_Peak_Period_Volume/'Inputs &amp; Outputs'!$C$27)^(1/(2025-2018))-1</f>
        <v>8.2253593854419993E-3</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12398.568316513596</v>
      </c>
      <c r="O9" s="146">
        <f t="shared" si="2"/>
        <v>8.2253593854419993E-3</v>
      </c>
      <c r="P9" s="147">
        <f t="shared" si="3"/>
        <v>0.88866345411044656</v>
      </c>
      <c r="Q9" s="148">
        <f t="shared" si="4"/>
        <v>1</v>
      </c>
      <c r="R9" s="37">
        <f>IF(M9=Year_Open_to_Traffic?,Calculations!$J$5,Calculations!R8+(Calculations!R8*Calculations!O9*Q9))</f>
        <v>408295.83091289829</v>
      </c>
      <c r="S9" s="54">
        <f t="shared" si="0"/>
        <v>1</v>
      </c>
      <c r="T9" s="37">
        <f t="shared" si="5"/>
        <v>408.29583091289828</v>
      </c>
      <c r="U9" s="142">
        <f>T9/(1+Real_Discount_Rate)^(Calculations!M9-'Assumed Values'!$C$5)</f>
        <v>291.10928458169718</v>
      </c>
    </row>
    <row r="10" spans="1:21" ht="15.75" x14ac:dyDescent="0.25">
      <c r="A10" s="152" t="s">
        <v>106</v>
      </c>
      <c r="B10" s="153">
        <f>(_2045_Peak_Period_Volume/_2025_Peak_Period_Volume)^(1/(2045-2025))-1</f>
        <v>-2.2296295839052682E-5</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12500.550996781874</v>
      </c>
      <c r="O10" s="146">
        <f t="shared" si="2"/>
        <v>8.2253593854419993E-3</v>
      </c>
      <c r="P10" s="147">
        <f t="shared" si="3"/>
        <v>0.89597303039321319</v>
      </c>
      <c r="Q10" s="148">
        <f t="shared" si="4"/>
        <v>1</v>
      </c>
      <c r="R10" s="37">
        <f>IF(M10=Year_Open_to_Traffic?,Calculations!$J$5,Calculations!R9+(Calculations!R9*Calculations!O10*Q10))</f>
        <v>411654.21085773455</v>
      </c>
      <c r="S10" s="54">
        <f t="shared" si="0"/>
        <v>1</v>
      </c>
      <c r="T10" s="37">
        <f t="shared" si="5"/>
        <v>411.65421085773454</v>
      </c>
      <c r="U10" s="142">
        <f>T10/(1+Real_Discount_Rate)^(Calculations!M10-'Assumed Values'!$C$5)</f>
        <v>274.3025823063744</v>
      </c>
    </row>
    <row r="11" spans="1:21" ht="15.75" x14ac:dyDescent="0.25">
      <c r="A11" s="152" t="s">
        <v>107</v>
      </c>
      <c r="B11" s="153">
        <f>(_2045_Peak_Period_Volume/'Inputs &amp; Outputs'!$C$27)^(1/(2045-2018))-1</f>
        <v>2.1094839657760378E-3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12603.372521246451</v>
      </c>
      <c r="O11" s="146">
        <f t="shared" si="2"/>
        <v>8.2253593854419993E-3</v>
      </c>
      <c r="P11" s="147">
        <f t="shared" si="3"/>
        <v>0.90334273056786096</v>
      </c>
      <c r="Q11" s="148">
        <f t="shared" si="4"/>
        <v>1</v>
      </c>
      <c r="R11" s="37">
        <f>IF(M11=Year_Open_to_Traffic?,Calculations!$J$5,Calculations!R10+(Calculations!R10*Calculations!O11*Q11))</f>
        <v>415040.21468456992</v>
      </c>
      <c r="S11" s="54">
        <f t="shared" si="0"/>
        <v>1</v>
      </c>
      <c r="T11" s="37">
        <f t="shared" si="5"/>
        <v>415.04021468456989</v>
      </c>
      <c r="U11" s="142">
        <f>T11/(1+Real_Discount_Rate)^(Calculations!M11-'Assumed Values'!$C$5)</f>
        <v>258.46618656654118</v>
      </c>
    </row>
    <row r="12" spans="1:21" ht="15.75" x14ac:dyDescent="0.25">
      <c r="A12" s="152" t="s">
        <v>75</v>
      </c>
      <c r="B12" s="156">
        <f>'Inputs &amp; Outputs'!C27/_2018_Peak_Period_Capacity</f>
        <v>0.85300040273862265</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12603.091512724148</v>
      </c>
      <c r="O12" s="146">
        <f t="shared" ref="O12:O36" si="7">IFERROR(_2025_2045_Demand_Growth,_2018_2045_Demand_Growth)</f>
        <v>-2.2296295839052682E-5</v>
      </c>
      <c r="P12" s="147">
        <f t="shared" ref="P12:P36" si="8">P11*(1+IFERROR(_2025_2040_V_C_Growth,_2018_2045_V_C_Growth))</f>
        <v>0.90332258937109622</v>
      </c>
      <c r="Q12" s="148">
        <f t="shared" si="4"/>
        <v>1</v>
      </c>
      <c r="R12" s="37">
        <f>IF(M12=Year_Open_to_Traffic?,Calculations!$J$5,Calculations!R11+(Calculations!R11*Calculations!O12*Q12))</f>
        <v>415030.96082515822</v>
      </c>
      <c r="S12" s="54">
        <f t="shared" si="0"/>
        <v>1</v>
      </c>
      <c r="T12" s="37">
        <f t="shared" si="5"/>
        <v>415.03096082515822</v>
      </c>
      <c r="U12" s="142">
        <f>T12/(1+Real_Discount_Rate)^(Calculations!M12-'Assumed Values'!$C$5)</f>
        <v>241.55179787661788</v>
      </c>
    </row>
    <row r="13" spans="1:21" ht="15.75" x14ac:dyDescent="0.25">
      <c r="A13" s="152" t="s">
        <v>74</v>
      </c>
      <c r="B13" s="156">
        <f>_2025_Peak_Period_Volume/_2025_Peak_Period_Capacity</f>
        <v>0.90334273056786141</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12602.810510467294</v>
      </c>
      <c r="O13" s="146">
        <f t="shared" si="7"/>
        <v>-2.2296295839052682E-5</v>
      </c>
      <c r="P13" s="147">
        <f t="shared" si="8"/>
        <v>0.90330244862340547</v>
      </c>
      <c r="Q13" s="148">
        <f t="shared" si="4"/>
        <v>1</v>
      </c>
      <c r="R13" s="37">
        <f>IF(M13=Year_Open_to_Traffic?,Calculations!$J$5,Calculations!R12+(Calculations!R12*Calculations!O13*Q13))</f>
        <v>415021.70717207331</v>
      </c>
      <c r="S13" s="54">
        <f t="shared" si="0"/>
        <v>1</v>
      </c>
      <c r="T13" s="37">
        <f t="shared" si="5"/>
        <v>415.02170717207332</v>
      </c>
      <c r="U13" s="142">
        <f>T13/(1+Real_Discount_Rate)^(Calculations!M13-'Assumed Values'!$C$5)</f>
        <v>225.74431043576817</v>
      </c>
    </row>
    <row r="14" spans="1:21" ht="15.75" x14ac:dyDescent="0.25">
      <c r="A14" s="152" t="s">
        <v>148</v>
      </c>
      <c r="B14" s="156">
        <f>_2045_Peak_Period_Volume/_2045_Peak_Period_Capacity</f>
        <v>0.90293999194522756</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12602.529514475749</v>
      </c>
      <c r="O14" s="146">
        <f t="shared" si="7"/>
        <v>-2.2296295839052682E-5</v>
      </c>
      <c r="P14" s="147">
        <f>P13*(1+IFERROR(_2025_2040_V_C_Growth,_2018_2045_V_C_Growth))</f>
        <v>0.90328230832477885</v>
      </c>
      <c r="Q14" s="148">
        <f t="shared" si="4"/>
        <v>1</v>
      </c>
      <c r="R14" s="37">
        <f>IF(M14=Year_Open_to_Traffic?,Calculations!$J$5,Calculations!R13+(Calculations!R13*Calculations!O14*Q14))</f>
        <v>415012.45372531057</v>
      </c>
      <c r="S14" s="54">
        <f t="shared" si="0"/>
        <v>1</v>
      </c>
      <c r="T14" s="37">
        <f t="shared" si="5"/>
        <v>415.01245372531059</v>
      </c>
      <c r="U14" s="142">
        <f>T14/(1+Real_Discount_Rate)^(Calculations!M14-'Assumed Values'!$C$5)</f>
        <v>210.97128707835395</v>
      </c>
    </row>
    <row r="15" spans="1:21" ht="15.75" x14ac:dyDescent="0.25">
      <c r="A15" s="152" t="s">
        <v>80</v>
      </c>
      <c r="B15" s="153">
        <f>(B13/B12)^(1/(2025-2018))-1</f>
        <v>8.2253593854419993E-3</v>
      </c>
      <c r="L15" s="136"/>
      <c r="M15" s="144">
        <f>M14+1</f>
        <v>2029</v>
      </c>
      <c r="N15" s="145">
        <f t="shared" si="6"/>
        <v>12602.248524749373</v>
      </c>
      <c r="O15" s="146">
        <f t="shared" si="7"/>
        <v>-2.2296295839052682E-5</v>
      </c>
      <c r="P15" s="147">
        <f>P14*(1+IFERROR(_2025_2040_V_C_Growth,_2018_2045_V_C_Growth))</f>
        <v>0.90326216847520624</v>
      </c>
      <c r="Q15" s="148">
        <f t="shared" si="4"/>
        <v>1</v>
      </c>
      <c r="R15" s="37">
        <f>IF(M15=Year_Open_to_Traffic?,Calculations!$J$5,Calculations!R14+(Calculations!R14*Calculations!O15*Q15))</f>
        <v>415003.2004848654</v>
      </c>
      <c r="S15" s="54">
        <f t="shared" si="0"/>
        <v>1</v>
      </c>
      <c r="T15" s="37">
        <f t="shared" si="5"/>
        <v>415.00320048486543</v>
      </c>
      <c r="U15" s="142">
        <f>T15/(1+Real_Discount_Rate)^(Calculations!M15-'Assumed Values'!$C$5)</f>
        <v>197.16503102815298</v>
      </c>
    </row>
    <row r="16" spans="1:21" ht="15.75" x14ac:dyDescent="0.25">
      <c r="A16" s="152" t="s">
        <v>108</v>
      </c>
      <c r="B16" s="153">
        <f>(B14/B13)^(1/(2045-2025))-1</f>
        <v>-2.2296295839052682E-5</v>
      </c>
      <c r="D16" s="157" t="s">
        <v>136</v>
      </c>
      <c r="E16" s="151"/>
      <c r="L16" s="136"/>
      <c r="M16" s="137">
        <f t="shared" si="1"/>
        <v>2030</v>
      </c>
      <c r="N16" s="145">
        <f t="shared" si="6"/>
        <v>12601.967541288028</v>
      </c>
      <c r="O16" s="146">
        <f t="shared" si="7"/>
        <v>-2.2296295839052682E-5</v>
      </c>
      <c r="P16" s="147">
        <f t="shared" si="8"/>
        <v>0.90324202907467765</v>
      </c>
      <c r="Q16" s="148">
        <f t="shared" si="4"/>
        <v>1</v>
      </c>
      <c r="R16" s="37">
        <f>IF(M16=Year_Open_to_Traffic?,Calculations!$J$5,Calculations!R15+(Calculations!R15*Calculations!O16*Q16))</f>
        <v>414993.94745073322</v>
      </c>
      <c r="S16" s="54">
        <f t="shared" si="0"/>
        <v>1</v>
      </c>
      <c r="T16" s="37">
        <f t="shared" si="5"/>
        <v>414.99394745073323</v>
      </c>
      <c r="U16" s="142">
        <f>T16/(1+Real_Discount_Rate)^(Calculations!M16-'Assumed Values'!$C$5)</f>
        <v>184.26227568064681</v>
      </c>
    </row>
    <row r="17" spans="1:21" ht="15.75" x14ac:dyDescent="0.25">
      <c r="A17" s="152" t="s">
        <v>109</v>
      </c>
      <c r="B17" s="153">
        <f>(B14/B12)^(1/(2045-2018))-1</f>
        <v>2.1094839657760378E-3</v>
      </c>
      <c r="D17" s="152" t="s">
        <v>89</v>
      </c>
      <c r="E17" s="158">
        <f>($E$6*Death_Rate)/100000000</f>
        <v>5.9784928234683919E-2</v>
      </c>
      <c r="L17" s="136"/>
      <c r="M17" s="144">
        <f t="shared" si="1"/>
        <v>2031</v>
      </c>
      <c r="N17" s="145">
        <f t="shared" si="6"/>
        <v>12601.686564091573</v>
      </c>
      <c r="O17" s="146">
        <f t="shared" si="7"/>
        <v>-2.2296295839052682E-5</v>
      </c>
      <c r="P17" s="147">
        <f t="shared" si="8"/>
        <v>0.9032218901231831</v>
      </c>
      <c r="Q17" s="148">
        <f t="shared" si="4"/>
        <v>1</v>
      </c>
      <c r="R17" s="37">
        <f>IF(M17=Year_Open_to_Traffic?,Calculations!$J$5,Calculations!R16+(Calculations!R16*Calculations!O17*Q17))</f>
        <v>414984.69462290942</v>
      </c>
      <c r="S17" s="54">
        <f t="shared" si="0"/>
        <v>0</v>
      </c>
      <c r="T17" s="37">
        <f t="shared" si="5"/>
        <v>0</v>
      </c>
      <c r="U17" s="142">
        <f>T17/(1+Real_Discount_Rate)^(Calculations!M17-'Assumed Values'!$C$5)</f>
        <v>0</v>
      </c>
    </row>
    <row r="18" spans="1:21" ht="15.75" x14ac:dyDescent="0.25">
      <c r="D18" s="152" t="s">
        <v>94</v>
      </c>
      <c r="E18" s="158">
        <f>($E$6*Incap_Injry_Rate)/100000000</f>
        <v>0.30220316949596682</v>
      </c>
      <c r="L18" s="136"/>
      <c r="M18" s="137">
        <f t="shared" si="1"/>
        <v>2032</v>
      </c>
      <c r="N18" s="145">
        <f t="shared" si="6"/>
        <v>12601.405593159869</v>
      </c>
      <c r="O18" s="146">
        <f t="shared" si="7"/>
        <v>-2.2296295839052682E-5</v>
      </c>
      <c r="P18" s="147">
        <f t="shared" si="8"/>
        <v>0.90320175162071259</v>
      </c>
      <c r="Q18" s="148">
        <f t="shared" si="4"/>
        <v>1</v>
      </c>
      <c r="R18" s="37">
        <f>IF(M18=Year_Open_to_Traffic?,Calculations!$J$5,Calculations!R17+(Calculations!R17*Calculations!O18*Q18))</f>
        <v>414975.4420013894</v>
      </c>
      <c r="S18" s="54">
        <f t="shared" si="0"/>
        <v>0</v>
      </c>
      <c r="T18" s="37">
        <f t="shared" si="5"/>
        <v>0</v>
      </c>
      <c r="U18" s="142">
        <f>T18/(1+Real_Discount_Rate)^(Calculations!M18-'Assumed Values'!$C$5)</f>
        <v>0</v>
      </c>
    </row>
    <row r="19" spans="1:21" ht="15.75" x14ac:dyDescent="0.25">
      <c r="D19" s="152" t="s">
        <v>93</v>
      </c>
      <c r="E19" s="158">
        <f>($E$6*Nonincap_Injry_Rate)/100000000</f>
        <v>1.7050275823317436</v>
      </c>
      <c r="L19" s="136"/>
      <c r="M19" s="144">
        <f t="shared" si="1"/>
        <v>2033</v>
      </c>
      <c r="N19" s="145">
        <f t="shared" si="6"/>
        <v>12601.124628492777</v>
      </c>
      <c r="O19" s="146">
        <f t="shared" si="7"/>
        <v>-2.2296295839052682E-5</v>
      </c>
      <c r="P19" s="147">
        <f t="shared" si="8"/>
        <v>0.90318161356725613</v>
      </c>
      <c r="Q19" s="148">
        <f t="shared" si="4"/>
        <v>1</v>
      </c>
      <c r="R19" s="37">
        <f>IF(M19=Year_Open_to_Traffic?,Calculations!$J$5,Calculations!R18+(Calculations!R18*Calculations!O19*Q19))</f>
        <v>414966.18958616862</v>
      </c>
      <c r="S19" s="54">
        <f t="shared" si="0"/>
        <v>0</v>
      </c>
      <c r="T19" s="37">
        <f t="shared" si="5"/>
        <v>0</v>
      </c>
      <c r="U19" s="142">
        <f>T19/(1+Real_Discount_Rate)^(Calculations!M19-'Assumed Values'!$C$5)</f>
        <v>0</v>
      </c>
    </row>
    <row r="20" spans="1:21" ht="15.75" x14ac:dyDescent="0.25">
      <c r="D20" s="152" t="s">
        <v>92</v>
      </c>
      <c r="E20" s="158">
        <f>($E$6*Poss_Injry_Rate/100000000)</f>
        <v>4.2564940357022865</v>
      </c>
      <c r="L20" s="136"/>
      <c r="M20" s="137">
        <f t="shared" si="1"/>
        <v>2034</v>
      </c>
      <c r="N20" s="145">
        <f t="shared" si="6"/>
        <v>12600.843670090155</v>
      </c>
      <c r="O20" s="146">
        <f t="shared" si="7"/>
        <v>-2.2296295839052682E-5</v>
      </c>
      <c r="P20" s="147">
        <f t="shared" si="8"/>
        <v>0.90316147596280361</v>
      </c>
      <c r="Q20" s="148">
        <f t="shared" si="4"/>
        <v>1</v>
      </c>
      <c r="R20" s="37">
        <f>IF(M20=Year_Open_to_Traffic?,Calculations!$J$5,Calculations!R19+(Calculations!R19*Calculations!O20*Q20))</f>
        <v>414956.93737724243</v>
      </c>
      <c r="S20" s="54">
        <f t="shared" si="0"/>
        <v>0</v>
      </c>
      <c r="T20" s="37">
        <f t="shared" si="5"/>
        <v>0</v>
      </c>
      <c r="U20" s="142">
        <f>T20/(1+Real_Discount_Rate)^(Calculations!M20-'Assumed Values'!$C$5)</f>
        <v>0</v>
      </c>
    </row>
    <row r="21" spans="1:21" ht="15.75" x14ac:dyDescent="0.25">
      <c r="D21" s="152" t="s">
        <v>91</v>
      </c>
      <c r="E21" s="158">
        <f>($E$6*Non_Injry_Rate)/100000000</f>
        <v>33.004751768475273</v>
      </c>
      <c r="L21" s="136"/>
      <c r="M21" s="144">
        <f>M20+1</f>
        <v>2035</v>
      </c>
      <c r="N21" s="145">
        <f t="shared" si="6"/>
        <v>12600.562717951865</v>
      </c>
      <c r="O21" s="146">
        <f t="shared" si="7"/>
        <v>-2.2296295839052682E-5</v>
      </c>
      <c r="P21" s="147">
        <f>P20*(1+IFERROR(_2025_2040_V_C_Growth,_2018_2045_V_C_Growth))</f>
        <v>0.90314133880734515</v>
      </c>
      <c r="Q21" s="148">
        <f t="shared" si="4"/>
        <v>1</v>
      </c>
      <c r="R21" s="37">
        <f>IF(M21=Year_Open_to_Traffic?,Calculations!$J$5,Calculations!R20+(Calculations!R20*Calculations!O21*Q21))</f>
        <v>414947.68537460623</v>
      </c>
      <c r="S21" s="54">
        <f t="shared" si="0"/>
        <v>0</v>
      </c>
      <c r="T21" s="37">
        <f t="shared" si="5"/>
        <v>0</v>
      </c>
      <c r="U21" s="142">
        <f>T21/(1+Real_Discount_Rate)^(Calculations!M21-'Assumed Values'!$C$5)</f>
        <v>0</v>
      </c>
    </row>
    <row r="22" spans="1:21" ht="15.75" x14ac:dyDescent="0.25">
      <c r="D22" s="152" t="s">
        <v>90</v>
      </c>
      <c r="E22" s="158">
        <f>($E$6*Unkn_Injry_Rate)/100000000</f>
        <v>2.8638909170485682</v>
      </c>
      <c r="L22" s="136"/>
      <c r="M22" s="137">
        <f>M21+1</f>
        <v>2036</v>
      </c>
      <c r="N22" s="145">
        <f t="shared" si="6"/>
        <v>12600.281772077768</v>
      </c>
      <c r="O22" s="146">
        <f t="shared" si="7"/>
        <v>-2.2296295839052682E-5</v>
      </c>
      <c r="P22" s="147">
        <f t="shared" si="8"/>
        <v>0.90312120210087066</v>
      </c>
      <c r="Q22" s="148">
        <f t="shared" si="4"/>
        <v>1</v>
      </c>
      <c r="R22" s="37">
        <f>IF(M22=Year_Open_to_Traffic?,Calculations!$J$5,Calculations!R21+(Calculations!R21*Calculations!O22*Q22))</f>
        <v>414938.43357825541</v>
      </c>
      <c r="S22" s="54">
        <f t="shared" si="0"/>
        <v>0</v>
      </c>
      <c r="T22" s="37">
        <f t="shared" si="5"/>
        <v>0</v>
      </c>
      <c r="U22" s="142">
        <f>T22/(1+Real_Discount_Rate)^(Calculations!M22-'Assumed Values'!$C$5)</f>
        <v>0</v>
      </c>
    </row>
    <row r="23" spans="1:21" ht="15.75" x14ac:dyDescent="0.25">
      <c r="L23" s="136"/>
      <c r="M23" s="144">
        <f t="shared" si="1"/>
        <v>2037</v>
      </c>
      <c r="N23" s="145">
        <f t="shared" si="6"/>
        <v>12600.000832467722</v>
      </c>
      <c r="O23" s="146">
        <f t="shared" si="7"/>
        <v>-2.2296295839052682E-5</v>
      </c>
      <c r="P23" s="147">
        <f t="shared" si="8"/>
        <v>0.90310106584337013</v>
      </c>
      <c r="Q23" s="148">
        <f t="shared" si="4"/>
        <v>1</v>
      </c>
      <c r="R23" s="37">
        <f>IF(M23=Year_Open_to_Traffic?,Calculations!$J$5,Calculations!R22+(Calculations!R22*Calculations!O23*Q23))</f>
        <v>414929.18198818533</v>
      </c>
      <c r="S23" s="54">
        <f t="shared" si="0"/>
        <v>0</v>
      </c>
      <c r="T23" s="37">
        <f t="shared" si="5"/>
        <v>0</v>
      </c>
      <c r="U23" s="142">
        <f>T23/(1+Real_Discount_Rate)^(Calculations!M23-'Assumed Values'!$C$5)</f>
        <v>0</v>
      </c>
    </row>
    <row r="24" spans="1:21" ht="15.75" x14ac:dyDescent="0.25">
      <c r="L24" s="136"/>
      <c r="M24" s="137">
        <f t="shared" si="1"/>
        <v>2038</v>
      </c>
      <c r="N24" s="145">
        <f t="shared" si="6"/>
        <v>12599.719899121588</v>
      </c>
      <c r="O24" s="146">
        <f t="shared" si="7"/>
        <v>-2.2296295839052682E-5</v>
      </c>
      <c r="P24" s="147">
        <f t="shared" si="8"/>
        <v>0.90308093003483347</v>
      </c>
      <c r="Q24" s="148">
        <f t="shared" si="4"/>
        <v>1</v>
      </c>
      <c r="R24" s="37">
        <f>IF(M24=Year_Open_to_Traffic?,Calculations!$J$5,Calculations!R23+(Calculations!R23*Calculations!O24*Q24))</f>
        <v>414919.93060439144</v>
      </c>
      <c r="S24" s="54">
        <f t="shared" si="0"/>
        <v>0</v>
      </c>
      <c r="T24" s="37">
        <f t="shared" si="5"/>
        <v>0</v>
      </c>
      <c r="U24" s="142">
        <f>T24/(1+Real_Discount_Rate)^(Calculations!M24-'Assumed Values'!$C$5)</f>
        <v>0</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12599.438972039228</v>
      </c>
      <c r="O25" s="146">
        <f t="shared" si="7"/>
        <v>-2.2296295839052682E-5</v>
      </c>
      <c r="P25" s="147">
        <f t="shared" si="8"/>
        <v>0.9030607946752508</v>
      </c>
      <c r="Q25" s="148">
        <f t="shared" si="4"/>
        <v>1</v>
      </c>
      <c r="R25" s="37">
        <f>IF(M25=Year_Open_to_Traffic?,Calculations!$J$5,Calculations!R24+(Calculations!R24*Calculations!O25*Q25))</f>
        <v>414910.67942686914</v>
      </c>
      <c r="S25" s="54">
        <f t="shared" si="0"/>
        <v>0</v>
      </c>
      <c r="T25" s="37">
        <f t="shared" si="5"/>
        <v>0</v>
      </c>
      <c r="U25" s="142">
        <f>T25/(1+Real_Discount_Rate)^(Calculations!M25-'Assumed Values'!$C$5)</f>
        <v>0</v>
      </c>
    </row>
    <row r="26" spans="1:21" ht="15.75" x14ac:dyDescent="0.25">
      <c r="A26" s="181"/>
      <c r="B26" s="181"/>
      <c r="D26" s="160">
        <f>Calculations!E17</f>
        <v>5.9784928234683919E-2</v>
      </c>
      <c r="E26" s="160">
        <f>Calculations!E18</f>
        <v>0.30220316949596682</v>
      </c>
      <c r="F26" s="160">
        <f>Calculations!E19</f>
        <v>1.7050275823317436</v>
      </c>
      <c r="G26" s="160">
        <f>Calculations!E20</f>
        <v>4.2564940357022865</v>
      </c>
      <c r="H26" s="160">
        <f>Calculations!E21</f>
        <v>33.004751768475273</v>
      </c>
      <c r="I26" s="160">
        <f>Calculations!E22</f>
        <v>2.8638909170485682</v>
      </c>
      <c r="J26" s="182"/>
      <c r="L26" s="136"/>
      <c r="M26" s="137">
        <f t="shared" si="1"/>
        <v>2040</v>
      </c>
      <c r="N26" s="145">
        <f t="shared" si="6"/>
        <v>12599.158051220502</v>
      </c>
      <c r="O26" s="146">
        <f t="shared" si="7"/>
        <v>-2.2296295839052682E-5</v>
      </c>
      <c r="P26" s="147">
        <f t="shared" si="8"/>
        <v>0.90304065976461212</v>
      </c>
      <c r="Q26" s="148">
        <f t="shared" si="4"/>
        <v>1</v>
      </c>
      <c r="R26" s="37">
        <f>IF(M26=Year_Open_to_Traffic?,Calculations!$J$5,Calculations!R25+(Calculations!R25*Calculations!O26*Q26))</f>
        <v>414901.42845561384</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2.2850790458268035E-3</v>
      </c>
      <c r="F27" s="163">
        <f>F$26*'Value of Statistical Life'!F17*Appropriate_Crash_Reduction_Factor</f>
        <v>3.1310103505390742E-2</v>
      </c>
      <c r="G27" s="163">
        <f>G$26*'Value of Statistical Life'!G17*Appropriate_Crash_Reduction_Factor</f>
        <v>0.21947079157245986</v>
      </c>
      <c r="H27" s="163">
        <f>H$26*'Value of Statistical Life'!H17*Appropriate_Crash_Reduction_Factor</f>
        <v>6.7189357403170007</v>
      </c>
      <c r="I27" s="163">
        <f>I$26*'Value of Statistical Life'!I17*Appropriate_Crash_Reduction_Factor</f>
        <v>0.27518325932462917</v>
      </c>
      <c r="J27" s="163">
        <f t="shared" ref="J27:J33" si="9">SUM(D27:I27)</f>
        <v>7.2471849737653073</v>
      </c>
      <c r="K27" s="164"/>
      <c r="L27" s="136"/>
      <c r="M27" s="144">
        <f t="shared" si="1"/>
        <v>2041</v>
      </c>
      <c r="N27" s="145">
        <f t="shared" si="6"/>
        <v>12598.877136665269</v>
      </c>
      <c r="O27" s="146">
        <f t="shared" si="7"/>
        <v>-2.2296295839052682E-5</v>
      </c>
      <c r="P27" s="147">
        <f t="shared" si="8"/>
        <v>0.90302052530290733</v>
      </c>
      <c r="Q27" s="148">
        <f t="shared" si="4"/>
        <v>1</v>
      </c>
      <c r="R27" s="37">
        <f>IF(M27=Year_Open_to_Traffic?,Calculations!$J$5,Calculations!R26+(Calculations!R26*Calculations!O27*Q27))</f>
        <v>414892.17769062094</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3.6865099799840102E-2</v>
      </c>
      <c r="F28" s="163">
        <f>F$26*'Value of Statistical Life'!F18*Appropriate_Crash_Reduction_Factor</f>
        <v>0.28824275592005999</v>
      </c>
      <c r="G28" s="163">
        <f>G$26*'Value of Statistical Life'!G18*Appropriate_Crash_Reduction_Factor</f>
        <v>0.64563012312816559</v>
      </c>
      <c r="H28" s="163">
        <f>H$26*'Value of Statistical Life'!H18*Appropriate_Crash_Reduction_Factor</f>
        <v>0.5269340638844151</v>
      </c>
      <c r="I28" s="163">
        <f>I$26*'Value of Statistical Life'!I18*Appropriate_Crash_Reduction_Factor</f>
        <v>0.2629790745707184</v>
      </c>
      <c r="J28" s="163">
        <f t="shared" si="9"/>
        <v>1.7606511173031991</v>
      </c>
      <c r="K28" s="164"/>
      <c r="L28" s="136"/>
      <c r="M28" s="137">
        <f t="shared" si="1"/>
        <v>2042</v>
      </c>
      <c r="N28" s="145">
        <f t="shared" si="6"/>
        <v>12598.59622837339</v>
      </c>
      <c r="O28" s="146">
        <f t="shared" si="7"/>
        <v>-2.2296295839052682E-5</v>
      </c>
      <c r="P28" s="147">
        <f t="shared" si="8"/>
        <v>0.90300039129012644</v>
      </c>
      <c r="Q28" s="148">
        <f t="shared" si="4"/>
        <v>1</v>
      </c>
      <c r="R28" s="37">
        <f>IF(M28=Year_Open_to_Traffic?,Calculations!$J$5,Calculations!R27+(Calculations!R27*Calculations!O28*Q28))</f>
        <v>414882.92713188584</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1.3900620509207682E-2</v>
      </c>
      <c r="F29" s="163">
        <f>F$26*'Value of Statistical Life'!F19*Appropriate_Crash_Reduction_Factor</f>
        <v>4.087905930295295E-2</v>
      </c>
      <c r="G29" s="163">
        <f>G$26*'Value of Statistical Life'!G19*Appropriate_Crash_Reduction_Factor</f>
        <v>5.9847157440781278E-2</v>
      </c>
      <c r="H29" s="163">
        <f>H$26*'Value of Statistical Life'!H19*Appropriate_Crash_Reduction_Factor</f>
        <v>1.4376869870347829E-2</v>
      </c>
      <c r="I29" s="163">
        <f>I$26*'Value of Statistical Life'!I19*Appropriate_Crash_Reduction_Factor</f>
        <v>5.5898568475320771E-2</v>
      </c>
      <c r="J29" s="163">
        <f t="shared" si="9"/>
        <v>0.1849022755986105</v>
      </c>
      <c r="K29" s="164"/>
      <c r="L29" s="136"/>
      <c r="M29" s="144">
        <f t="shared" si="1"/>
        <v>2043</v>
      </c>
      <c r="N29" s="145">
        <f t="shared" si="6"/>
        <v>12598.315326344726</v>
      </c>
      <c r="O29" s="146">
        <f t="shared" si="7"/>
        <v>-2.2296295839052682E-5</v>
      </c>
      <c r="P29" s="147">
        <f t="shared" si="8"/>
        <v>0.90298025772625945</v>
      </c>
      <c r="Q29" s="148">
        <f t="shared" si="4"/>
        <v>1</v>
      </c>
      <c r="R29" s="37">
        <f>IF(M29=Year_Open_to_Traffic?,Calculations!$J$5,Calculations!R28+(Calculations!R28*Calculations!O29*Q29))</f>
        <v>414873.67677940393</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9.5983957476292008E-3</v>
      </c>
      <c r="F30" s="163">
        <f>F$26*'Value of Statistical Life'!F20*Appropriate_Crash_Reduction_Factor</f>
        <v>1.1969634633485307E-2</v>
      </c>
      <c r="G30" s="163">
        <f>G$26*'Value of Statistical Life'!G20*Appropriate_Crash_Reduction_Factor</f>
        <v>1.0029151246921728E-2</v>
      </c>
      <c r="H30" s="163">
        <f>H$26*'Value of Statistical Life'!H20*Appropriate_Crash_Reduction_Factor</f>
        <v>5.8088363112516485E-4</v>
      </c>
      <c r="I30" s="163">
        <f>I$26*'Value of Statistical Life'!I20*Appropriate_Crash_Reduction_Factor</f>
        <v>3.0349797604330493E-2</v>
      </c>
      <c r="J30" s="163">
        <f t="shared" si="9"/>
        <v>6.2527862863491893E-2</v>
      </c>
      <c r="K30" s="164"/>
      <c r="L30" s="136"/>
      <c r="M30" s="144">
        <f t="shared" si="1"/>
        <v>2044</v>
      </c>
      <c r="N30" s="145">
        <f t="shared" si="6"/>
        <v>12598.034430579135</v>
      </c>
      <c r="O30" s="146">
        <f t="shared" si="7"/>
        <v>-2.2296295839052682E-5</v>
      </c>
      <c r="P30" s="147">
        <f t="shared" si="8"/>
        <v>0.90296012461129638</v>
      </c>
      <c r="Q30" s="148">
        <f t="shared" si="4"/>
        <v>1</v>
      </c>
      <c r="R30" s="37">
        <f>IF(M30=Year_Open_to_Traffic?,Calculations!$J$5,Calculations!R29+(Calculations!R29*Calculations!O30*Q30))</f>
        <v>414864.42663317063</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2.6500800339440325E-3</v>
      </c>
      <c r="F31" s="163">
        <f>F$26*'Value of Statistical Life'!F21*Appropriate_Crash_Reduction_Factor</f>
        <v>2.3256576223004981E-3</v>
      </c>
      <c r="G31" s="163">
        <f>G$26*'Value of Statistical Life'!G21*Appropriate_Crash_Reduction_Factor</f>
        <v>1.3297287367533945E-3</v>
      </c>
      <c r="H31" s="163">
        <f>H$26*'Value of Statistical Life'!H21*Appropriate_Crash_Reduction_Factor</f>
        <v>0</v>
      </c>
      <c r="I31" s="163">
        <f>I$26*'Value of Statistical Life'!I21*Appropriate_Crash_Reduction_Factor</f>
        <v>3.887445530801727E-3</v>
      </c>
      <c r="J31" s="163">
        <f t="shared" si="9"/>
        <v>1.0192911923799652E-2</v>
      </c>
      <c r="K31" s="164"/>
      <c r="L31" s="136"/>
      <c r="M31" s="144">
        <f t="shared" si="1"/>
        <v>2045</v>
      </c>
      <c r="N31" s="145">
        <f t="shared" si="6"/>
        <v>12597.753541076479</v>
      </c>
      <c r="O31" s="146">
        <f t="shared" si="7"/>
        <v>-2.2296295839052682E-5</v>
      </c>
      <c r="P31" s="147">
        <f t="shared" si="8"/>
        <v>0.90293999194522723</v>
      </c>
      <c r="Q31" s="148">
        <f t="shared" si="4"/>
        <v>1</v>
      </c>
      <c r="R31" s="37">
        <f>IF(M31=Year_Open_to_Traffic?,Calculations!$J$5,Calculations!R30+(Calculations!R30*Calculations!O31*Q31))</f>
        <v>414855.17669318133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1.1854221526648794E-3</v>
      </c>
      <c r="F32" s="163">
        <f>F$26*'Value of Statistical Life'!F22*Appropriate_Crash_Reduction_Factor</f>
        <v>3.7885712879411347E-4</v>
      </c>
      <c r="G32" s="163">
        <f>G$26*'Value of Statistical Life'!G22*Appropriate_Crash_Reduction_Factor</f>
        <v>1.2173572942108538E-4</v>
      </c>
      <c r="H32" s="163">
        <f>H$26*'Value of Statistical Life'!H22*Appropriate_Crash_Reduction_Factor</f>
        <v>2.1783136167193682E-4</v>
      </c>
      <c r="I32" s="163">
        <f>I$26*'Value of Statistical Life'!I22*Appropriate_Crash_Reduction_Factor</f>
        <v>1.7578562448844113E-3</v>
      </c>
      <c r="J32" s="163">
        <f t="shared" si="9"/>
        <v>3.6617026174364264E-3</v>
      </c>
      <c r="K32" s="164"/>
      <c r="L32" s="136"/>
      <c r="M32" s="144">
        <f t="shared" si="1"/>
        <v>2046</v>
      </c>
      <c r="N32" s="145">
        <f t="shared" si="6"/>
        <v>12597.472657836621</v>
      </c>
      <c r="O32" s="146">
        <f t="shared" si="7"/>
        <v>-2.2296295839052682E-5</v>
      </c>
      <c r="P32" s="147">
        <f t="shared" si="8"/>
        <v>0.9029198597280419</v>
      </c>
      <c r="Q32" s="148">
        <f t="shared" si="4"/>
        <v>1</v>
      </c>
      <c r="R32" s="37">
        <f>IF(M32=Year_Open_to_Traffic?,Calculations!$J$5,Calculations!R31+(Calculations!R31*Calculations!O32*Q32))</f>
        <v>414845.92695943144</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1.3152684211630463E-2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1.3152684211630463E-2</v>
      </c>
      <c r="K33" s="164"/>
      <c r="L33" s="136"/>
      <c r="M33" s="144">
        <f t="shared" si="1"/>
        <v>2047</v>
      </c>
      <c r="N33" s="145">
        <f t="shared" si="6"/>
        <v>12597.191780859417</v>
      </c>
      <c r="O33" s="146">
        <f t="shared" si="7"/>
        <v>-2.2296295839052682E-5</v>
      </c>
      <c r="P33" s="147">
        <f t="shared" si="8"/>
        <v>0.90289972795973039</v>
      </c>
      <c r="Q33" s="148">
        <f t="shared" si="4"/>
        <v>1</v>
      </c>
      <c r="R33" s="37">
        <f>IF(M33=Year_Open_to_Traffic?,Calculations!$J$5,Calculations!R32+(Calculations!R32*Calculations!O33*Q33))</f>
        <v>414836.67743191635</v>
      </c>
      <c r="S33" s="54">
        <f t="shared" si="0"/>
        <v>0</v>
      </c>
      <c r="T33" s="37">
        <f t="shared" si="5"/>
        <v>0</v>
      </c>
      <c r="U33" s="142">
        <f>T33/(1+Real_Discount_Rate)^(Calculations!M33-'Assumed Values'!$C$5)</f>
        <v>0</v>
      </c>
    </row>
    <row r="34" spans="1:21" ht="15.75" x14ac:dyDescent="0.25">
      <c r="J34" s="166"/>
      <c r="L34" s="136"/>
      <c r="M34" s="144">
        <f t="shared" si="1"/>
        <v>2048</v>
      </c>
      <c r="N34" s="145">
        <f t="shared" si="6"/>
        <v>12596.91091014473</v>
      </c>
      <c r="O34" s="146">
        <f t="shared" si="7"/>
        <v>-2.2296295839052682E-5</v>
      </c>
      <c r="P34" s="147">
        <f t="shared" si="8"/>
        <v>0.90287959664028283</v>
      </c>
      <c r="Q34" s="148">
        <f t="shared" si="4"/>
        <v>1</v>
      </c>
      <c r="R34" s="37">
        <f>IF(M34=Year_Open_to_Traffic?,Calculations!$J$5,Calculations!R33+(Calculations!R33*Calculations!O34*Q34))</f>
        <v>414827.42811063142</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12596.63004569242</v>
      </c>
      <c r="O35" s="146">
        <f t="shared" si="7"/>
        <v>-2.2296295839052682E-5</v>
      </c>
      <c r="P35" s="147">
        <f t="shared" si="8"/>
        <v>0.90285946576968912</v>
      </c>
      <c r="Q35" s="148">
        <f t="shared" si="4"/>
        <v>1</v>
      </c>
      <c r="R35" s="37">
        <f>IF(M35=Year_Open_to_Traffic?,Calculations!$J$5,Calculations!R34+(Calculations!R34*Calculations!O35*Q35))</f>
        <v>414818.17899557209</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12596.349187502346</v>
      </c>
      <c r="O36" s="146">
        <f t="shared" si="7"/>
        <v>-2.2296295839052682E-5</v>
      </c>
      <c r="P36" s="147">
        <f t="shared" si="8"/>
        <v>0.90283933534793925</v>
      </c>
      <c r="Q36" s="148">
        <f t="shared" si="4"/>
        <v>1</v>
      </c>
      <c r="R36" s="37">
        <f>IF(M36=Year_Open_to_Traffic?,Calculations!$J$5,Calculations!R35+(Calculations!R35*Calculations!O36*Q36))</f>
        <v>414808.93008673377</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2520.3935569529212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topLeftCell="A4"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2018-08-02T18:58:13Z</cp:lastPrinted>
  <dcterms:created xsi:type="dcterms:W3CDTF">2012-07-25T15:48:32Z</dcterms:created>
  <dcterms:modified xsi:type="dcterms:W3CDTF">2018-10-31T20:35:05Z</dcterms:modified>
</cp:coreProperties>
</file>