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BusinessUS90\"/>
    </mc:Choice>
  </mc:AlternateContent>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5251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s="1"/>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<sst xmlns="http://schemas.openxmlformats.org/spreadsheetml/2006/main" count="262" uniqueCount="130">
  <si>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</si>
  <si>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</si>
  <si>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</si>
  <si>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</si>
  <si>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</si>
  <si>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</si>
  <si>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</si>
  <si>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</si>
  <si>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</si>
  <si>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</si>
  <si>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</si>
  <si>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</si>
  <si>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</si>
  <si>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</si>
  <si>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</si>
  <si>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</si>
  <si>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</si>
  <si>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</si>
  <si>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</si>
  <si>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</si>
  <si>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</si>
  <si>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</si>
  <si>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</si>
  <si>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</si>
  <si>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</si>
  <si>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</si>
  <si>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</si>
  <si>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</si>
  <si>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</si>
  <si>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</si>
  <si>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</si>
  <si>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</si>
  <si>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</si>
  <si>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</si>
  <si>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</si>
  <si>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</si>
  <si>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</si>
  <si>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</si>
  <si>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</si>
  <si>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</si>
  <si>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</si>
  <si>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</si>
  <si>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</si>
  <si>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</si>
  <si>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</si>
  <si>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</si>
  <si>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</si>
  <si>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</si>
  <si>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</si>
  <si>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</si>
  <si>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</si>
  <si>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</si>
  <si>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</si>
  <si>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</si>
  <si>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</si>
  <si>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</si>
  <si>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</si>
  <si>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</si>
  <si>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</si>
  <si>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</si>
  <si>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</si>
  <si>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</si>
  <si>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</si>
  <si>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</si>
  <si>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</si>
  <si>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</si>
  <si>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</si>
  <si>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</si>
  <si>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</si>
  <si>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</si>
  <si>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</si>
  <si>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</si>
  <si>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</si>
  <si>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</si>
  <si>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</si>
  <si>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</si>
  <si>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</si>
  <si>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</si>
  <si>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</si>
  <si>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</si>
  <si>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</si>
  <si>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</si>
  <si>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</si>
  <si>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</si>
  <si>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</si>
  <si>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</si>
  <si>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</si>
  <si>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</si>
  <si>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</si>
  <si>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</si>
  <si>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</si>
  <si>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</si>
  <si>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</si>
  <si>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</si>
  <si>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</si>
  <si>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</si>
  <si>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</si>
  <si>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</si>
  <si>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</si>
  <si>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</si>
  <si>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</si>
  <si>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</si>
  <si>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</si>
  <si>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</si>
  <si>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</si>
  <si>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</si>
  <si>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</si>
  <si>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</si>
  <si>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</si>
  <si>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</si>
  <si>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</si>
  <si>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</si>
  <si>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</si>
  <si>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</si>
  <si>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</si>
  <si>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</si>
  <si>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</si>
  <si>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</si>
  <si>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</si>
  <si>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</si>
  <si>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</si>
  <si>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</si>
  <si>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</si>
  <si>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</si>
  <si>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</si>
  <si>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</si>
  <si>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</si>
  <si>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</si>
  <si>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</si>
  <si>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Integration of Traffic Signals on Business 90, FM2100, and FM1942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</si>
</sst>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E20" sqref="E20"/>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289</v>
      </c>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2029</v>
      </c>
    </row>
    <row r="14" spans="1:5" x14ac:dyDescent="0.25">
      <c r="A14" s="6" t="s">
        <v>86</v>
      </c>
      <c r="B14" s="6" t="s">
        <v>123</v>
      </c>
    </row>
    <row r="15" spans="1:5" x14ac:dyDescent="0.25">
      <c r="A15" s="106" t="s">
        <v>87</v>
      </c>
      <c r="B15" s="57" t="s">
        <v>76</v>
      </c>
    </row>
    <row r="16" spans="1:5" x14ac:dyDescent="0.25">
      <c r="A16" s="106" t="s">
        <v>88</v>
      </c>
      <c r="B16" s="57">
        <v>12.5</v>
      </c>
    </row>
    <row r="17" spans="1:3" x14ac:dyDescent="0.25">
      <c r="A17" s="107" t="s">
        <v>95</v>
      </c>
      <c r="B17" s="57">
        <v>21</v>
      </c>
    </row>
    <row r="18" spans="1:3" x14ac:dyDescent="0.25">
      <c r="A18" s="107" t="s">
        <v>96</v>
      </c>
      <c r="B18" s="57">
        <v>24</v>
      </c>
    </row>
    <row r="19" spans="1:3" x14ac:dyDescent="0.25">
      <c r="A19" s="96" t="s">
        <v>97</v>
      </c>
      <c r="B19" s="97">
        <f>VLOOKUP(B14,'Service Life'!C6:D8,2,FALSE)</f>
        <v>12</v>
      </c>
    </row>
    <row r="21" spans="1:3" x14ac:dyDescent="0.25">
      <c r="A21" s="102" t="s">
        <v>89</v>
      </c>
    </row>
    <row r="22" spans="1:3" ht="20.25" customHeight="1" x14ac:dyDescent="0.25">
      <c r="A22" s="107" t="s">
        <v>90</v>
      </c>
      <c r="B22" s="119">
        <v>16453</v>
      </c>
    </row>
    <row r="23" spans="1:3" ht="30" x14ac:dyDescent="0.25">
      <c r="A23" s="118" t="s">
        <v>101</v>
      </c>
      <c r="B23" s="120">
        <v>23957</v>
      </c>
    </row>
    <row r="24" spans="1:3" ht="30" x14ac:dyDescent="0.25">
      <c r="A24" s="118" t="s">
        <v>102</v>
      </c>
      <c r="B24" s="120">
        <v>35966</v>
      </c>
    </row>
    <row r="27" spans="1:3" ht="18.75" x14ac:dyDescent="0.3">
      <c r="A27" s="100" t="s">
        <v>55</v>
      </c>
      <c r="B27" s="101"/>
    </row>
    <row r="29" spans="1:3" x14ac:dyDescent="0.25">
      <c r="A29" s="108" t="s">
        <v>53</v>
      </c>
    </row>
    <row r="30" spans="1:3" x14ac:dyDescent="0.25">
      <c r="A30" s="105" t="s">
        <v>112</v>
      </c>
      <c r="B30" s="114">
        <f>'Benefit Calculations'!M37</f>
        <v>13490.757407698358</v>
      </c>
    </row>
    <row r="31" spans="1:3" x14ac:dyDescent="0.25">
      <c r="A31" s="105" t="s">
        <v>113</v>
      </c>
      <c r="B31" s="114">
        <f>'Benefit Calculations'!Q37</f>
        <v>1778.8282159139442</v>
      </c>
      <c r="C31" s="109"/>
    </row>
    <row r="32" spans="1:3" x14ac:dyDescent="0.25">
      <c r="A32" s="110"/>
      <c r="B32" s="111"/>
      <c r="C32" s="109"/>
    </row>
    <row r="33" spans="1:9" x14ac:dyDescent="0.25">
      <c r="A33" s="108" t="s">
        <v>94</v>
      </c>
      <c r="B33" s="111"/>
      <c r="C33" s="109"/>
    </row>
    <row r="34" spans="1:9" x14ac:dyDescent="0.25">
      <c r="A34" s="105" t="s">
        <v>114</v>
      </c>
      <c r="B34" s="114">
        <f>$B$30+$B$31</f>
        <v>15269.585623612302</v>
      </c>
      <c r="C34" s="109"/>
    </row>
    <row r="35" spans="1:9" x14ac:dyDescent="0.25">
      <c r="I35" s="112"/>
    </row>
    <row r="36" spans="1:9" x14ac:dyDescent="0.25">
      <c r="A36" s="108" t="s">
        <v>107</v>
      </c>
    </row>
    <row r="37" spans="1:9" x14ac:dyDescent="0.25">
      <c r="A37" s="105" t="s">
        <v>116</v>
      </c>
      <c r="B37" s="115">
        <f>'Benefit Calculations'!K37</f>
        <v>5.4101743140677181</v>
      </c>
    </row>
    <row r="38" spans="1:9" x14ac:dyDescent="0.25">
      <c r="A38" s="105" t="s">
        <v>117</v>
      </c>
      <c r="B38" s="115">
        <f>'Benefit Calculations'!O37</f>
        <v>2.8115008485165642</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7.1687102317799997E-2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1.7545400187400001E-2</v>
      </c>
      <c r="F4" s="70">
        <v>2018</v>
      </c>
      <c r="G4" s="80">
        <f>'Inputs &amp; Outputs'!B22</f>
        <v>16453</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6.7192703485499994E-2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1.52097996324E-2</v>
      </c>
      <c r="F5" s="70">
        <f t="shared" ref="F5:F36" si="2">F4+1</f>
        <v>2019</v>
      </c>
      <c r="G5" s="80">
        <f>G4+G4*H5</f>
        <v>17360.313922548998</v>
      </c>
      <c r="H5" s="79">
        <f>$C$9</f>
        <v>5.5145804567495071E-2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18317.662401352249</v>
      </c>
      <c r="H6" s="79">
        <f t="shared" ref="H6:H11" si="7">$C$9</f>
        <v>5.5145804567495071E-2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19327.80463227057</v>
      </c>
      <c r="H7" s="79">
        <f t="shared" si="7"/>
        <v>5.5145804567495071E-2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20393.651969240491</v>
      </c>
      <c r="H8" s="79">
        <f t="shared" si="7"/>
        <v>5.5145804567495071E-2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5.5145804567495071E-2</v>
      </c>
      <c r="F9" s="70">
        <f t="shared" si="2"/>
        <v>2023</v>
      </c>
      <c r="G9" s="80">
        <f t="shared" si="6"/>
        <v>21518.276315153737</v>
      </c>
      <c r="H9" s="79">
        <f t="shared" si="7"/>
        <v>5.5145804567495071E-2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1.6385330584334001E-2</v>
      </c>
      <c r="F10" s="70">
        <f t="shared" si="2"/>
        <v>2024</v>
      </c>
      <c r="G10" s="80">
        <f t="shared" si="6"/>
        <v>22704.918975458564</v>
      </c>
      <c r="H10" s="79">
        <f t="shared" si="7"/>
        <v>5.5145804567495071E-2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2.9388992873468522E-2</v>
      </c>
      <c r="F11" s="70">
        <f t="shared" si="2"/>
        <v>2025</v>
      </c>
      <c r="G11" s="80">
        <f>'Inputs &amp; Outputs'!$B$23</f>
        <v>23957</v>
      </c>
      <c r="H11" s="79">
        <f t="shared" si="7"/>
        <v>5.5145804567495071E-2</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24349.543364808891</v>
      </c>
      <c r="H12" s="79">
        <f>$C$10</f>
        <v>1.6385330584334001E-2</v>
      </c>
      <c r="I12" s="70">
        <f>IF(AND(F12&gt;='Inputs &amp; Outputs'!B$13,F12&lt;'Inputs &amp; Outputs'!B$13+'Inputs &amp; Outputs'!B$19),1,0)</f>
        <v>0</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24748.51868241886</v>
      </c>
      <c r="H13" s="79">
        <f t="shared" ref="H13:H36" si="8">$C$10</f>
        <v>1.6385330584334001E-2</v>
      </c>
      <c r="I13" s="70">
        <f>IF(AND(F13&gt;='Inputs &amp; Outputs'!B$13,F13&lt;'Inputs &amp; Outputs'!B$13+'Inputs &amp; Outputs'!B$19),1,0)</f>
        <v>0</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25154.031342502858</v>
      </c>
      <c r="H14" s="79">
        <f t="shared" si="8"/>
        <v>1.6385330584334001E-2</v>
      </c>
      <c r="I14" s="70">
        <f>IF(AND(F14&gt;='Inputs &amp; Outputs'!B$13,F14&lt;'Inputs &amp; Outputs'!B$13+'Inputs &amp; Outputs'!B$19),1,0)</f>
        <v>0</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25566.188461578466</v>
      </c>
      <c r="H15" s="79">
        <f t="shared" si="8"/>
        <v>1.6385330584334001E-2</v>
      </c>
      <c r="I15" s="70">
        <f>IF(AND(F15&gt;='Inputs &amp; Outputs'!B$13,F15&lt;'Inputs &amp; Outputs'!B$13+'Inputs &amp; Outputs'!B$19),1,0)</f>
        <v>1</v>
      </c>
      <c r="J15" s="71">
        <f>I15*'Inputs &amp; Outputs'!B$16*'Benefit Calculations'!G15*('Benefit Calculations'!C$4-'Benefit Calculations'!C$5)</f>
        <v>1436.3080946010009</v>
      </c>
      <c r="K15" s="89">
        <f t="shared" si="3"/>
        <v>0.41164758703444976</v>
      </c>
      <c r="L15" s="72">
        <f>K15*'Assumed Values'!$C$8</f>
        <v>3090.6500834546487</v>
      </c>
      <c r="M15" s="73">
        <f t="shared" si="0"/>
        <v>1468.3455908039971</v>
      </c>
      <c r="N15" s="88">
        <f>I15*'Inputs &amp; Outputs'!B$16*'Benefit Calculations'!G15*('Benefit Calculations'!D$4-'Benefit Calculations'!D$5)</f>
        <v>746.40504950121601</v>
      </c>
      <c r="O15" s="89">
        <f t="shared" si="4"/>
        <v>0.21392056393225206</v>
      </c>
      <c r="P15" s="72">
        <f>ABS(O15*'Assumed Values'!$C$7)</f>
        <v>407.51867429094017</v>
      </c>
      <c r="Q15" s="73">
        <f t="shared" si="1"/>
        <v>193.60918654904489</v>
      </c>
      <c r="T15" s="85">
        <f t="shared" si="5"/>
        <v>0.37344010459626026</v>
      </c>
      <c r="U15" s="86">
        <f>T15*'Assumed Values'!$D$8</f>
        <v>0</v>
      </c>
    </row>
    <row r="16" spans="2:21" x14ac:dyDescent="0.25">
      <c r="B16" s="27"/>
      <c r="C16" s="69"/>
      <c r="F16" s="70">
        <f t="shared" si="2"/>
        <v>2030</v>
      </c>
      <c r="G16" s="80">
        <f t="shared" si="6"/>
        <v>25985.098911302815</v>
      </c>
      <c r="H16" s="79">
        <f t="shared" si="8"/>
        <v>1.6385330584334001E-2</v>
      </c>
      <c r="I16" s="70">
        <f>IF(AND(F16&gt;='Inputs &amp; Outputs'!B$13,F16&lt;'Inputs &amp; Outputs'!B$13+'Inputs &amp; Outputs'!B$19),1,0)</f>
        <v>1</v>
      </c>
      <c r="J16" s="71">
        <f>I16*'Inputs &amp; Outputs'!B$16*'Benefit Calculations'!G16*('Benefit Calculations'!C$4-'Benefit Calculations'!C$5)</f>
        <v>1459.8424775519934</v>
      </c>
      <c r="K16" s="89">
        <f t="shared" si="3"/>
        <v>0.41839256883225262</v>
      </c>
      <c r="L16" s="72">
        <f>K16*'Assumed Values'!$C$8</f>
        <v>3141.2914067925526</v>
      </c>
      <c r="M16" s="73">
        <f t="shared" si="0"/>
        <v>1394.7709520760468</v>
      </c>
      <c r="N16" s="88">
        <f>I16*'Inputs &amp; Outputs'!B$16*'Benefit Calculations'!G16*('Benefit Calculations'!D$4-'Benefit Calculations'!D$5)</f>
        <v>758.6351429871097</v>
      </c>
      <c r="O16" s="89">
        <f t="shared" si="4"/>
        <v>0.2174257230910692</v>
      </c>
      <c r="P16" s="72">
        <f>ABS(O16*'Assumed Values'!$C$7)</f>
        <v>414.19600248848684</v>
      </c>
      <c r="Q16" s="73">
        <f t="shared" si="1"/>
        <v>183.9079785745935</v>
      </c>
      <c r="T16" s="85">
        <f t="shared" si="5"/>
        <v>0.37955904416351827</v>
      </c>
      <c r="U16" s="86">
        <f>T16*'Assumed Values'!$D$8</f>
        <v>0</v>
      </c>
    </row>
    <row r="17" spans="2:21" x14ac:dyDescent="0.25">
      <c r="B17" s="27"/>
      <c r="C17" s="69"/>
      <c r="F17" s="70">
        <f t="shared" si="2"/>
        <v>2031</v>
      </c>
      <c r="G17" s="80">
        <f t="shared" si="6"/>
        <v>26410.873347231129</v>
      </c>
      <c r="H17" s="79">
        <f t="shared" si="8"/>
        <v>1.6385330584334001E-2</v>
      </c>
      <c r="I17" s="70">
        <f>IF(AND(F17&gt;='Inputs &amp; Outputs'!B$13,F17&lt;'Inputs &amp; Outputs'!B$13+'Inputs &amp; Outputs'!B$19),1,0)</f>
        <v>1</v>
      </c>
      <c r="J17" s="71">
        <f>I17*'Inputs &amp; Outputs'!B$16*'Benefit Calculations'!G17*('Benefit Calculations'!C$4-'Benefit Calculations'!C$5)</f>
        <v>1483.762479147736</v>
      </c>
      <c r="K17" s="89">
        <f t="shared" si="3"/>
        <v>0.42524806938659782</v>
      </c>
      <c r="L17" s="72">
        <f>K17*'Assumed Values'!$C$8</f>
        <v>3192.7625049545763</v>
      </c>
      <c r="M17" s="73">
        <f t="shared" si="0"/>
        <v>1324.8829301077001</v>
      </c>
      <c r="N17" s="88">
        <f>I17*'Inputs &amp; Outputs'!B$16*'Benefit Calculations'!G17*('Benefit Calculations'!D$4-'Benefit Calculations'!D$5)</f>
        <v>771.06563059784708</v>
      </c>
      <c r="O17" s="89">
        <f t="shared" si="4"/>
        <v>0.22098831544145425</v>
      </c>
      <c r="P17" s="72">
        <f>ABS(O17*'Assumed Values'!$C$7)</f>
        <v>420.98274091597034</v>
      </c>
      <c r="Q17" s="73">
        <f t="shared" si="1"/>
        <v>174.6928706547989</v>
      </c>
      <c r="T17" s="85">
        <f t="shared" si="5"/>
        <v>0.38577824457841142</v>
      </c>
      <c r="U17" s="86">
        <f>T17*'Assumed Values'!$D$8</f>
        <v>0</v>
      </c>
    </row>
    <row r="18" spans="2:21" x14ac:dyDescent="0.25">
      <c r="F18" s="70">
        <f t="shared" si="2"/>
        <v>2032</v>
      </c>
      <c r="G18" s="80">
        <f t="shared" si="6"/>
        <v>26843.624238046486</v>
      </c>
      <c r="H18" s="79">
        <f t="shared" si="8"/>
        <v>1.6385330584334001E-2</v>
      </c>
      <c r="I18" s="70">
        <f>IF(AND(F18&gt;='Inputs &amp; Outputs'!B$13,F18&lt;'Inputs &amp; Outputs'!B$13+'Inputs &amp; Outputs'!B$19),1,0)</f>
        <v>1</v>
      </c>
      <c r="J18" s="71">
        <f>I18*'Inputs &amp; Outputs'!B$16*'Benefit Calculations'!G18*('Benefit Calculations'!C$4-'Benefit Calculations'!C$5)</f>
        <v>1508.0744178772024</v>
      </c>
      <c r="K18" s="89">
        <f t="shared" si="3"/>
        <v>0.43221589958384699</v>
      </c>
      <c r="L18" s="72">
        <f>K18*'Assumed Values'!$C$8</f>
        <v>3245.0769740755231</v>
      </c>
      <c r="M18" s="73">
        <f t="shared" si="0"/>
        <v>1258.4967989748186</v>
      </c>
      <c r="N18" s="88">
        <f>I18*'Inputs &amp; Outputs'!B$16*'Benefit Calculations'!G18*('Benefit Calculations'!D$4-'Benefit Calculations'!D$5)</f>
        <v>783.69979585741066</v>
      </c>
      <c r="O18" s="89">
        <f t="shared" si="4"/>
        <v>0.22460928204523753</v>
      </c>
      <c r="P18" s="72">
        <f>ABS(O18*'Assumed Values'!$C$7)</f>
        <v>427.8806822961775</v>
      </c>
      <c r="Q18" s="73">
        <f t="shared" si="1"/>
        <v>165.93950569271408</v>
      </c>
      <c r="T18" s="85">
        <f t="shared" si="5"/>
        <v>0.39209934864807261</v>
      </c>
      <c r="U18" s="86">
        <f>T18*'Assumed Values'!$D$8</f>
        <v>0</v>
      </c>
    </row>
    <row r="19" spans="2:21" x14ac:dyDescent="0.25">
      <c r="F19" s="70">
        <f t="shared" si="2"/>
        <v>2033</v>
      </c>
      <c r="G19" s="80">
        <f t="shared" si="6"/>
        <v>27283.46589526852</v>
      </c>
      <c r="H19" s="79">
        <f t="shared" si="8"/>
        <v>1.6385330584334001E-2</v>
      </c>
      <c r="I19" s="70">
        <f>IF(AND(F19&gt;='Inputs &amp; Outputs'!B$13,F19&lt;'Inputs &amp; Outputs'!B$13+'Inputs &amp; Outputs'!B$19),1,0)</f>
        <v>1</v>
      </c>
      <c r="J19" s="71">
        <f>I19*'Inputs &amp; Outputs'!B$16*'Benefit Calculations'!G19*('Benefit Calculations'!C$4-'Benefit Calculations'!C$5)</f>
        <v>1532.7847157598976</v>
      </c>
      <c r="K19" s="89">
        <f t="shared" si="3"/>
        <v>0.43929789998233365</v>
      </c>
      <c r="L19" s="72">
        <f>K19*'Assumed Values'!$C$8</f>
        <v>3298.248633067361</v>
      </c>
      <c r="M19" s="73">
        <f t="shared" si="0"/>
        <v>1195.4370888461187</v>
      </c>
      <c r="N19" s="88">
        <f>I19*'Inputs &amp; Outputs'!B$16*'Benefit Calculations'!G19*('Benefit Calculations'!D$4-'Benefit Calculations'!D$5)</f>
        <v>796.54097609140945</v>
      </c>
      <c r="O19" s="89">
        <f t="shared" si="4"/>
        <v>0.22828957938385866</v>
      </c>
      <c r="P19" s="72">
        <f>ABS(O19*'Assumed Values'!$C$7)</f>
        <v>434.89164872625076</v>
      </c>
      <c r="Q19" s="73">
        <f t="shared" si="1"/>
        <v>157.62474705653287</v>
      </c>
      <c r="T19" s="85">
        <f t="shared" si="5"/>
        <v>0.39852402609757342</v>
      </c>
      <c r="U19" s="86">
        <f>T19*'Assumed Values'!$D$8</f>
        <v>0</v>
      </c>
    </row>
    <row r="20" spans="2:21" x14ac:dyDescent="0.25">
      <c r="F20" s="70">
        <f t="shared" si="2"/>
        <v>2034</v>
      </c>
      <c r="G20" s="80">
        <f t="shared" si="6"/>
        <v>27730.514503448896</v>
      </c>
      <c r="H20" s="79">
        <f t="shared" si="8"/>
        <v>1.6385330584334001E-2</v>
      </c>
      <c r="I20" s="70">
        <f>IF(AND(F20&gt;='Inputs &amp; Outputs'!B$13,F20&lt;'Inputs &amp; Outputs'!B$13+'Inputs &amp; Outputs'!B$19),1,0)</f>
        <v>1</v>
      </c>
      <c r="J20" s="71">
        <f>I20*'Inputs &amp; Outputs'!B$16*'Benefit Calculations'!G20*('Benefit Calculations'!C$4-'Benefit Calculations'!C$5)</f>
        <v>1557.8999000422377</v>
      </c>
      <c r="K20" s="89">
        <f t="shared" si="3"/>
        <v>0.44649594129854786</v>
      </c>
      <c r="L20" s="72">
        <f>K20*'Assumed Values'!$C$8</f>
        <v>3352.2915272694972</v>
      </c>
      <c r="M20" s="73">
        <f t="shared" si="0"/>
        <v>1135.537122186576</v>
      </c>
      <c r="N20" s="88">
        <f>I20*'Inputs &amp; Outputs'!B$16*'Benefit Calculations'!G20*('Benefit Calculations'!D$4-'Benefit Calculations'!D$5)</f>
        <v>809.59256330863514</v>
      </c>
      <c r="O20" s="89">
        <f t="shared" si="4"/>
        <v>0.23203017961102171</v>
      </c>
      <c r="P20" s="72">
        <f>ABS(O20*'Assumed Values'!$C$7)</f>
        <v>442.01749215899633</v>
      </c>
      <c r="Q20" s="73">
        <f t="shared" si="1"/>
        <v>149.72661742553848</v>
      </c>
      <c r="T20" s="85">
        <f t="shared" si="5"/>
        <v>0.40505397401098181</v>
      </c>
      <c r="U20" s="86">
        <f>T20*'Assumed Values'!$D$8</f>
        <v>0</v>
      </c>
    </row>
    <row r="21" spans="2:21" x14ac:dyDescent="0.25">
      <c r="F21" s="70">
        <f t="shared" si="2"/>
        <v>2035</v>
      </c>
      <c r="G21" s="80">
        <f t="shared" si="6"/>
        <v>28184.888150861574</v>
      </c>
      <c r="H21" s="79">
        <f t="shared" si="8"/>
        <v>1.6385330584334001E-2</v>
      </c>
      <c r="I21" s="70">
        <f>IF(AND(F21&gt;='Inputs &amp; Outputs'!B$13,F21&lt;'Inputs &amp; Outputs'!B$13+'Inputs &amp; Outputs'!B$19),1,0)</f>
        <v>1</v>
      </c>
      <c r="J21" s="71">
        <f>I21*'Inputs &amp; Outputs'!B$16*'Benefit Calculations'!G21*('Benefit Calculations'!C$4-'Benefit Calculations'!C$5)</f>
        <v>1583.4266049217308</v>
      </c>
      <c r="K21" s="89">
        <f t="shared" si="3"/>
        <v>0.45381192490128797</v>
      </c>
      <c r="L21" s="72">
        <f>K21*'Assumed Values'!$C$8</f>
        <v>3407.2199321588701</v>
      </c>
      <c r="M21" s="73">
        <f t="shared" si="0"/>
        <v>1078.638573200361</v>
      </c>
      <c r="N21" s="88">
        <f>I21*'Inputs &amp; Outputs'!B$16*'Benefit Calculations'!G21*('Benefit Calculations'!D$4-'Benefit Calculations'!D$5)</f>
        <v>822.85800509706564</v>
      </c>
      <c r="O21" s="89">
        <f t="shared" si="4"/>
        <v>0.23583207080949076</v>
      </c>
      <c r="P21" s="72">
        <f>ABS(O21*'Assumed Values'!$C$7)</f>
        <v>449.26009489207991</v>
      </c>
      <c r="Q21" s="73">
        <f t="shared" si="1"/>
        <v>142.22424070030848</v>
      </c>
      <c r="T21" s="85">
        <f t="shared" si="5"/>
        <v>0.41169091727965001</v>
      </c>
      <c r="U21" s="86">
        <f>T21*'Assumed Values'!$D$8</f>
        <v>0</v>
      </c>
    </row>
    <row r="22" spans="2:21" x14ac:dyDescent="0.25">
      <c r="F22" s="70">
        <f t="shared" si="2"/>
        <v>2036</v>
      </c>
      <c r="G22" s="80">
        <f t="shared" si="6"/>
        <v>28646.706860695918</v>
      </c>
      <c r="H22" s="79">
        <f t="shared" si="8"/>
        <v>1.6385330584334001E-2</v>
      </c>
      <c r="I22" s="70">
        <f>IF(AND(F22&gt;='Inputs &amp; Outputs'!B$13,F22&lt;'Inputs &amp; Outputs'!B$13+'Inputs &amp; Outputs'!B$19),1,0)</f>
        <v>1</v>
      </c>
      <c r="J22" s="71">
        <f>I22*'Inputs &amp; Outputs'!B$16*'Benefit Calculations'!G22*('Benefit Calculations'!C$4-'Benefit Calculations'!C$5)</f>
        <v>1609.3715732994028</v>
      </c>
      <c r="K22" s="89">
        <f t="shared" si="3"/>
        <v>0.46124778331390842</v>
      </c>
      <c r="L22" s="72">
        <f>K22*'Assumed Values'!$C$8</f>
        <v>3463.0483571208242</v>
      </c>
      <c r="M22" s="73">
        <f t="shared" si="0"/>
        <v>1024.5910493488439</v>
      </c>
      <c r="N22" s="88">
        <f>I22*'Inputs &amp; Outputs'!B$16*'Benefit Calculations'!G22*('Benefit Calculations'!D$4-'Benefit Calculations'!D$5)</f>
        <v>836.34080553454658</v>
      </c>
      <c r="O22" s="89">
        <f t="shared" si="4"/>
        <v>0.23969625725209232</v>
      </c>
      <c r="P22" s="72">
        <f>ABS(O22*'Assumed Values'!$C$7)</f>
        <v>456.62137006523585</v>
      </c>
      <c r="Q22" s="73">
        <f t="shared" si="1"/>
        <v>135.09778682363449</v>
      </c>
      <c r="T22" s="85">
        <f t="shared" si="5"/>
        <v>0.41843660905784474</v>
      </c>
      <c r="U22" s="86">
        <f>T22*'Assumed Values'!$D$8</f>
        <v>0</v>
      </c>
    </row>
    <row r="23" spans="2:21" x14ac:dyDescent="0.25">
      <c r="F23" s="70">
        <f t="shared" si="2"/>
        <v>2037</v>
      </c>
      <c r="G23" s="80">
        <f t="shared" si="6"/>
        <v>29116.092622760931</v>
      </c>
      <c r="H23" s="79">
        <f t="shared" si="8"/>
        <v>1.6385330584334001E-2</v>
      </c>
      <c r="I23" s="70">
        <f>IF(AND(F23&gt;='Inputs &amp; Outputs'!B$13,F23&lt;'Inputs &amp; Outputs'!B$13+'Inputs &amp; Outputs'!B$19),1,0)</f>
        <v>1</v>
      </c>
      <c r="J23" s="71">
        <f>I23*'Inputs &amp; Outputs'!B$16*'Benefit Calculations'!G23*('Benefit Calculations'!C$4-'Benefit Calculations'!C$5)</f>
        <v>1635.7416585609433</v>
      </c>
      <c r="K23" s="89">
        <f t="shared" si="3"/>
        <v>0.46880548072479811</v>
      </c>
      <c r="L23" s="72">
        <f>K23*'Assumed Values'!$C$8</f>
        <v>3519.7915492817842</v>
      </c>
      <c r="M23" s="73">
        <f t="shared" si="0"/>
        <v>973.25169383754621</v>
      </c>
      <c r="N23" s="88">
        <f>I23*'Inputs &amp; Outputs'!B$16*'Benefit Calculations'!G23*('Benefit Calculations'!D$4-'Benefit Calculations'!D$5)</f>
        <v>850.04452611439831</v>
      </c>
      <c r="O23" s="89">
        <f t="shared" si="4"/>
        <v>0.2436237596669954</v>
      </c>
      <c r="P23" s="72">
        <f>ABS(O23*'Assumed Values'!$C$7)</f>
        <v>464.10326216562623</v>
      </c>
      <c r="Q23" s="73">
        <f t="shared" si="1"/>
        <v>128.32841936630993</v>
      </c>
      <c r="T23" s="85">
        <f t="shared" si="5"/>
        <v>0.42529283122584527</v>
      </c>
      <c r="U23" s="86">
        <f>T23*'Assumed Values'!$D$8</f>
        <v>0</v>
      </c>
    </row>
    <row r="24" spans="2:21" x14ac:dyDescent="0.25">
      <c r="F24" s="70">
        <f t="shared" si="2"/>
        <v>2038</v>
      </c>
      <c r="G24" s="80">
        <f t="shared" si="6"/>
        <v>29593.169425708958</v>
      </c>
      <c r="H24" s="79">
        <f t="shared" si="8"/>
        <v>1.6385330584334001E-2</v>
      </c>
      <c r="I24" s="70">
        <f>IF(AND(F24&gt;='Inputs &amp; Outputs'!B$13,F24&lt;'Inputs &amp; Outputs'!B$13+'Inputs &amp; Outputs'!B$19),1,0)</f>
        <v>1</v>
      </c>
      <c r="J24" s="71">
        <f>I24*'Inputs &amp; Outputs'!B$16*'Benefit Calculations'!G24*('Benefit Calculations'!C$4-'Benefit Calculations'!C$5)</f>
        <v>1662.5438263870312</v>
      </c>
      <c r="K24" s="89">
        <f t="shared" si="3"/>
        <v>0.47648701350622158</v>
      </c>
      <c r="L24" s="72">
        <f>K24*'Assumed Values'!$C$8</f>
        <v>3577.4644974047114</v>
      </c>
      <c r="M24" s="73">
        <f t="shared" si="0"/>
        <v>924.4848080213435</v>
      </c>
      <c r="N24" s="88">
        <f>I24*'Inputs &amp; Outputs'!B$16*'Benefit Calculations'!G24*('Benefit Calculations'!D$4-'Benefit Calculations'!D$5)</f>
        <v>863.97278668618628</v>
      </c>
      <c r="O24" s="89">
        <f t="shared" si="4"/>
        <v>0.24761561550733746</v>
      </c>
      <c r="P24" s="72">
        <f>ABS(O24*'Assumed Values'!$C$7)</f>
        <v>471.70774754147789</v>
      </c>
      <c r="Q24" s="73">
        <f t="shared" si="1"/>
        <v>121.89824573924484</v>
      </c>
      <c r="T24" s="85">
        <f t="shared" si="5"/>
        <v>0.43226139486062815</v>
      </c>
      <c r="U24" s="86">
        <f>T24*'Assumed Values'!$D$8</f>
        <v>0</v>
      </c>
    </row>
    <row r="25" spans="2:21" x14ac:dyDescent="0.25">
      <c r="F25" s="70">
        <f t="shared" si="2"/>
        <v>2039</v>
      </c>
      <c r="G25" s="80">
        <f t="shared" si="6"/>
        <v>30078.063289787406</v>
      </c>
      <c r="H25" s="79">
        <f t="shared" si="8"/>
        <v>1.6385330584334001E-2</v>
      </c>
      <c r="I25" s="70">
        <f>IF(AND(F25&gt;='Inputs &amp; Outputs'!B$13,F25&lt;'Inputs &amp; Outputs'!B$13+'Inputs &amp; Outputs'!B$19),1,0)</f>
        <v>1</v>
      </c>
      <c r="J25" s="71">
        <f>I25*'Inputs &amp; Outputs'!B$16*'Benefit Calculations'!G25*('Benefit Calculations'!C$4-'Benefit Calculations'!C$5)</f>
        <v>1689.7851565933265</v>
      </c>
      <c r="K25" s="89">
        <f t="shared" si="3"/>
        <v>0.48429441074166313</v>
      </c>
      <c r="L25" s="72">
        <f>K25*'Assumed Values'!$C$8</f>
        <v>3636.0824358484069</v>
      </c>
      <c r="M25" s="73">
        <f t="shared" si="0"/>
        <v>878.16149272987661</v>
      </c>
      <c r="N25" s="88">
        <f>I25*'Inputs &amp; Outputs'!B$16*'Benefit Calculations'!G25*('Benefit Calculations'!D$4-'Benefit Calculations'!D$5)</f>
        <v>878.12926641190779</v>
      </c>
      <c r="O25" s="89">
        <f t="shared" si="4"/>
        <v>0.25167287922526854</v>
      </c>
      <c r="P25" s="72">
        <f>ABS(O25*'Assumed Values'!$C$7)</f>
        <v>479.43683492413658</v>
      </c>
      <c r="Q25" s="73">
        <f t="shared" si="1"/>
        <v>115.79026990031097</v>
      </c>
      <c r="T25" s="85">
        <f t="shared" si="5"/>
        <v>0.43934414071426486</v>
      </c>
      <c r="U25" s="86">
        <f>T25*'Assumed Values'!$D$8</f>
        <v>0</v>
      </c>
    </row>
    <row r="26" spans="2:21" x14ac:dyDescent="0.25">
      <c r="F26" s="70">
        <f t="shared" si="2"/>
        <v>2040</v>
      </c>
      <c r="G26" s="80">
        <f t="shared" si="6"/>
        <v>30570.902300127094</v>
      </c>
      <c r="H26" s="79">
        <f t="shared" si="8"/>
        <v>1.6385330584334001E-2</v>
      </c>
      <c r="I26" s="70">
        <f>IF(AND(F26&gt;='Inputs &amp; Outputs'!B$13,F26&lt;'Inputs &amp; Outputs'!B$13+'Inputs &amp; Outputs'!B$19),1,0)</f>
        <v>1</v>
      </c>
      <c r="J26" s="71">
        <f>I26*'Inputs &amp; Outputs'!B$16*'Benefit Calculations'!G26*('Benefit Calculations'!C$4-'Benefit Calculations'!C$5)</f>
        <v>1717.4728450006087</v>
      </c>
      <c r="K26" s="89">
        <f t="shared" si="3"/>
        <v>0.49222973476181042</v>
      </c>
      <c r="L26" s="72">
        <f>K26*'Assumed Values'!$C$8</f>
        <v>3695.6608485916727</v>
      </c>
      <c r="M26" s="73">
        <f t="shared" si="0"/>
        <v>834.15930756512864</v>
      </c>
      <c r="N26" s="88">
        <f>I26*'Inputs &amp; Outputs'!B$16*'Benefit Calculations'!G26*('Benefit Calculations'!D$4-'Benefit Calculations'!D$5)</f>
        <v>892.51770473784552</v>
      </c>
      <c r="O26" s="89">
        <f t="shared" si="4"/>
        <v>0.25579662255048574</v>
      </c>
      <c r="P26" s="72">
        <f>ABS(O26*'Assumed Values'!$C$7)</f>
        <v>487.29256595867531</v>
      </c>
      <c r="Q26" s="73">
        <f t="shared" si="1"/>
        <v>109.98834743091292</v>
      </c>
      <c r="T26" s="85">
        <f t="shared" si="5"/>
        <v>0.44654293970015824</v>
      </c>
      <c r="U26" s="86">
        <f>T26*'Assumed Values'!$D$8</f>
        <v>0</v>
      </c>
    </row>
    <row r="27" spans="2:21" x14ac:dyDescent="0.25">
      <c r="F27" s="70">
        <f t="shared" si="2"/>
        <v>2041</v>
      </c>
      <c r="G27" s="80">
        <f t="shared" si="6"/>
        <v>31071.816640576053</v>
      </c>
      <c r="H27" s="79">
        <f t="shared" si="8"/>
        <v>1.6385330584334001E-2</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31580.938628087701</v>
      </c>
      <c r="H28" s="79">
        <f t="shared" si="8"/>
        <v>1.6385330584334001E-2</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32098.40274767248</v>
      </c>
      <c r="H29" s="79">
        <f t="shared" si="8"/>
        <v>1.6385330584334001E-2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32624.345687922189</v>
      </c>
      <c r="H30" s="79">
        <f t="shared" si="8"/>
        <v>1.6385330584334001E-2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35966</v>
      </c>
      <c r="H31" s="79">
        <f t="shared" si="8"/>
        <v>1.6385330584334001E-2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36555.314799796157</v>
      </c>
      <c r="H32" s="79">
        <f t="shared" si="8"/>
        <v>1.6385330584334001E-2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37154.285717405211</v>
      </c>
      <c r="H33" s="79">
        <f t="shared" si="8"/>
        <v>1.6385330584334001E-2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37763.070971509696</v>
      </c>
      <c r="H34" s="79">
        <f t="shared" si="8"/>
        <v>1.6385330584334001E-2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38381.831373257548</v>
      </c>
      <c r="H35" s="79">
        <f t="shared" si="8"/>
        <v>1.6385330584334001E-2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39010.730368740537</v>
      </c>
      <c r="H36" s="79">
        <f t="shared" si="8"/>
        <v>1.6385330584334001E-2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18877.01374974311</v>
      </c>
      <c r="K37" s="71">
        <f t="shared" ref="K37:Q37" si="9">SUM(K4:K36)</f>
        <v>5.4101743140677181</v>
      </c>
      <c r="L37" s="74">
        <f t="shared" si="9"/>
        <v>40619.588750020434</v>
      </c>
      <c r="M37" s="75">
        <f t="shared" si="9"/>
        <v>13490.757407698358</v>
      </c>
      <c r="N37" s="88">
        <f t="shared" si="9"/>
        <v>9809.8022529255795</v>
      </c>
      <c r="O37" s="88">
        <f t="shared" si="9"/>
        <v>2.8115008485165642</v>
      </c>
      <c r="P37" s="76">
        <f t="shared" si="9"/>
        <v>5355.9091164240535</v>
      </c>
      <c r="Q37" s="75">
        <f t="shared" si="9"/>
        <v>1778.8282159139442</v>
      </c>
      <c r="T37" s="85">
        <f>SUM(T4:T36)</f>
        <v>4.9080235749332086</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12</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2018-04-10T17:15:43Z</cp:lastPrinted>
  <dcterms:created xsi:type="dcterms:W3CDTF">2012-07-25T15:48:32Z</dcterms:created>
  <dcterms:modified xsi:type="dcterms:W3CDTF">2018-10-31T20:25:41Z</dcterms:modified>
</cp:coreProperties>
</file>